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kit\Documents\PDF Price Lists\Industrial Fittings\March 1 2022  40 ftgs\"/>
    </mc:Choice>
  </mc:AlternateContent>
  <bookViews>
    <workbookView xWindow="0" yWindow="0" windowWidth="28800" windowHeight="12300"/>
  </bookViews>
  <sheets>
    <sheet name="PVC40WMIU030122" sheetId="1" r:id="rId1"/>
  </sheets>
  <definedNames>
    <definedName name="_xlnm._FilterDatabase" localSheetId="0" hidden="1">PVC40WMIU030122!$A$1:$L$925</definedName>
  </definedNames>
  <calcPr calcId="162913"/>
</workbook>
</file>

<file path=xl/calcChain.xml><?xml version="1.0" encoding="utf-8"?>
<calcChain xmlns="http://schemas.openxmlformats.org/spreadsheetml/2006/main">
  <c r="B2" i="1" l="1"/>
  <c r="C2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295" i="1"/>
  <c r="C295" i="1"/>
  <c r="B296" i="1"/>
  <c r="C296" i="1"/>
  <c r="B297" i="1"/>
  <c r="C297" i="1"/>
  <c r="B298" i="1"/>
  <c r="C298" i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08" i="1"/>
  <c r="C308" i="1"/>
  <c r="B309" i="1"/>
  <c r="C309" i="1"/>
  <c r="B310" i="1"/>
  <c r="C310" i="1"/>
  <c r="B311" i="1"/>
  <c r="C311" i="1"/>
  <c r="B312" i="1"/>
  <c r="C312" i="1"/>
  <c r="B313" i="1"/>
  <c r="C313" i="1"/>
  <c r="B314" i="1"/>
  <c r="C314" i="1"/>
  <c r="B315" i="1"/>
  <c r="C315" i="1"/>
  <c r="B316" i="1"/>
  <c r="C316" i="1"/>
  <c r="B317" i="1"/>
  <c r="C317" i="1"/>
  <c r="B318" i="1"/>
  <c r="C318" i="1"/>
  <c r="B319" i="1"/>
  <c r="C319" i="1"/>
  <c r="B320" i="1"/>
  <c r="C320" i="1"/>
  <c r="B321" i="1"/>
  <c r="C321" i="1"/>
  <c r="B322" i="1"/>
  <c r="C322" i="1"/>
  <c r="B323" i="1"/>
  <c r="C323" i="1"/>
  <c r="B324" i="1"/>
  <c r="C324" i="1"/>
  <c r="B325" i="1"/>
  <c r="C325" i="1"/>
  <c r="B326" i="1"/>
  <c r="C326" i="1"/>
  <c r="B327" i="1"/>
  <c r="C327" i="1"/>
  <c r="B328" i="1"/>
  <c r="C328" i="1"/>
  <c r="B329" i="1"/>
  <c r="C329" i="1"/>
  <c r="B330" i="1"/>
  <c r="C330" i="1"/>
  <c r="B331" i="1"/>
  <c r="C331" i="1"/>
  <c r="B332" i="1"/>
  <c r="C332" i="1"/>
  <c r="B333" i="1"/>
  <c r="C333" i="1"/>
  <c r="B334" i="1"/>
  <c r="C334" i="1"/>
  <c r="B335" i="1"/>
  <c r="C335" i="1"/>
  <c r="B336" i="1"/>
  <c r="C336" i="1"/>
  <c r="B337" i="1"/>
  <c r="C337" i="1"/>
  <c r="B338" i="1"/>
  <c r="C338" i="1"/>
  <c r="B339" i="1"/>
  <c r="C339" i="1"/>
  <c r="B340" i="1"/>
  <c r="C340" i="1"/>
  <c r="B341" i="1"/>
  <c r="C341" i="1"/>
  <c r="B342" i="1"/>
  <c r="C342" i="1"/>
  <c r="B343" i="1"/>
  <c r="C343" i="1"/>
  <c r="B344" i="1"/>
  <c r="C344" i="1"/>
  <c r="B345" i="1"/>
  <c r="C345" i="1"/>
  <c r="B346" i="1"/>
  <c r="C346" i="1"/>
  <c r="B347" i="1"/>
  <c r="C347" i="1"/>
  <c r="B348" i="1"/>
  <c r="C348" i="1"/>
  <c r="B349" i="1"/>
  <c r="C349" i="1"/>
  <c r="B350" i="1"/>
  <c r="C350" i="1"/>
  <c r="B351" i="1"/>
  <c r="C351" i="1"/>
  <c r="B352" i="1"/>
  <c r="C352" i="1"/>
  <c r="B353" i="1"/>
  <c r="C353" i="1"/>
  <c r="B354" i="1"/>
  <c r="C354" i="1"/>
  <c r="B355" i="1"/>
  <c r="C355" i="1"/>
  <c r="B356" i="1"/>
  <c r="C356" i="1"/>
  <c r="B357" i="1"/>
  <c r="C357" i="1"/>
  <c r="B358" i="1"/>
  <c r="C358" i="1"/>
  <c r="B359" i="1"/>
  <c r="C359" i="1"/>
  <c r="B360" i="1"/>
  <c r="C360" i="1"/>
  <c r="B361" i="1"/>
  <c r="C361" i="1"/>
  <c r="B362" i="1"/>
  <c r="C362" i="1"/>
  <c r="B363" i="1"/>
  <c r="C363" i="1"/>
  <c r="B364" i="1"/>
  <c r="C364" i="1"/>
  <c r="B365" i="1"/>
  <c r="C365" i="1"/>
  <c r="B366" i="1"/>
  <c r="C366" i="1"/>
  <c r="B367" i="1"/>
  <c r="C367" i="1"/>
  <c r="B368" i="1"/>
  <c r="C368" i="1"/>
  <c r="B369" i="1"/>
  <c r="C369" i="1"/>
  <c r="B370" i="1"/>
  <c r="C370" i="1"/>
  <c r="B371" i="1"/>
  <c r="C371" i="1"/>
  <c r="B372" i="1"/>
  <c r="C372" i="1"/>
  <c r="B373" i="1"/>
  <c r="C373" i="1"/>
  <c r="B374" i="1"/>
  <c r="C374" i="1"/>
  <c r="B375" i="1"/>
  <c r="C375" i="1"/>
  <c r="B376" i="1"/>
  <c r="C376" i="1"/>
  <c r="B377" i="1"/>
  <c r="C377" i="1"/>
  <c r="B378" i="1"/>
  <c r="C378" i="1"/>
  <c r="B379" i="1"/>
  <c r="C379" i="1"/>
  <c r="B380" i="1"/>
  <c r="C380" i="1"/>
  <c r="B381" i="1"/>
  <c r="C381" i="1"/>
  <c r="B382" i="1"/>
  <c r="C382" i="1"/>
  <c r="B383" i="1"/>
  <c r="C383" i="1"/>
  <c r="B384" i="1"/>
  <c r="C384" i="1"/>
  <c r="B385" i="1"/>
  <c r="C385" i="1"/>
  <c r="B386" i="1"/>
  <c r="C386" i="1"/>
  <c r="B387" i="1"/>
  <c r="C387" i="1"/>
  <c r="B388" i="1"/>
  <c r="C388" i="1"/>
  <c r="B389" i="1"/>
  <c r="C389" i="1"/>
  <c r="B390" i="1"/>
  <c r="C390" i="1"/>
  <c r="B391" i="1"/>
  <c r="C391" i="1"/>
  <c r="B392" i="1"/>
  <c r="C392" i="1"/>
  <c r="B393" i="1"/>
  <c r="C393" i="1"/>
  <c r="B394" i="1"/>
  <c r="C394" i="1"/>
  <c r="B395" i="1"/>
  <c r="C395" i="1"/>
  <c r="B396" i="1"/>
  <c r="C396" i="1"/>
  <c r="B397" i="1"/>
  <c r="C397" i="1"/>
  <c r="B398" i="1"/>
  <c r="C398" i="1"/>
  <c r="B399" i="1"/>
  <c r="C399" i="1"/>
  <c r="B400" i="1"/>
  <c r="C400" i="1"/>
  <c r="B401" i="1"/>
  <c r="C401" i="1"/>
  <c r="B402" i="1"/>
  <c r="C402" i="1"/>
  <c r="B403" i="1"/>
  <c r="C403" i="1"/>
  <c r="B404" i="1"/>
  <c r="C404" i="1"/>
  <c r="B405" i="1"/>
  <c r="C405" i="1"/>
  <c r="B406" i="1"/>
  <c r="C406" i="1"/>
  <c r="B407" i="1"/>
  <c r="C407" i="1"/>
  <c r="B408" i="1"/>
  <c r="C408" i="1"/>
  <c r="B409" i="1"/>
  <c r="C409" i="1"/>
  <c r="B410" i="1"/>
  <c r="C410" i="1"/>
  <c r="B411" i="1"/>
  <c r="C411" i="1"/>
  <c r="B412" i="1"/>
  <c r="C412" i="1"/>
  <c r="B413" i="1"/>
  <c r="C413" i="1"/>
  <c r="B414" i="1"/>
  <c r="C414" i="1"/>
  <c r="B415" i="1"/>
  <c r="C415" i="1"/>
  <c r="B416" i="1"/>
  <c r="C416" i="1"/>
  <c r="B417" i="1"/>
  <c r="C417" i="1"/>
  <c r="B418" i="1"/>
  <c r="C418" i="1"/>
  <c r="B419" i="1"/>
  <c r="C419" i="1"/>
  <c r="B420" i="1"/>
  <c r="C420" i="1"/>
  <c r="B421" i="1"/>
  <c r="C421" i="1"/>
  <c r="B422" i="1"/>
  <c r="C422" i="1"/>
  <c r="B423" i="1"/>
  <c r="C423" i="1"/>
  <c r="B424" i="1"/>
  <c r="C424" i="1"/>
  <c r="B425" i="1"/>
  <c r="C425" i="1"/>
  <c r="B426" i="1"/>
  <c r="C426" i="1"/>
  <c r="B427" i="1"/>
  <c r="C427" i="1"/>
  <c r="B428" i="1"/>
  <c r="C428" i="1"/>
  <c r="B429" i="1"/>
  <c r="C429" i="1"/>
  <c r="B430" i="1"/>
  <c r="C430" i="1"/>
  <c r="B431" i="1"/>
  <c r="C431" i="1"/>
  <c r="B432" i="1"/>
  <c r="C432" i="1"/>
  <c r="B433" i="1"/>
  <c r="C433" i="1"/>
  <c r="B434" i="1"/>
  <c r="C434" i="1"/>
  <c r="B435" i="1"/>
  <c r="C435" i="1"/>
  <c r="B436" i="1"/>
  <c r="C436" i="1"/>
  <c r="B437" i="1"/>
  <c r="C437" i="1"/>
  <c r="B438" i="1"/>
  <c r="C438" i="1"/>
  <c r="B439" i="1"/>
  <c r="C439" i="1"/>
  <c r="B440" i="1"/>
  <c r="C440" i="1"/>
  <c r="B441" i="1"/>
  <c r="C441" i="1"/>
  <c r="B442" i="1"/>
  <c r="C442" i="1"/>
  <c r="B443" i="1"/>
  <c r="C443" i="1"/>
  <c r="B444" i="1"/>
  <c r="C444" i="1"/>
  <c r="B445" i="1"/>
  <c r="C445" i="1"/>
  <c r="B446" i="1"/>
  <c r="C446" i="1"/>
  <c r="B447" i="1"/>
  <c r="C447" i="1"/>
  <c r="B448" i="1"/>
  <c r="C448" i="1"/>
  <c r="B449" i="1"/>
  <c r="C449" i="1"/>
  <c r="B450" i="1"/>
  <c r="C450" i="1"/>
  <c r="B451" i="1"/>
  <c r="C451" i="1"/>
  <c r="B452" i="1"/>
  <c r="C452" i="1"/>
  <c r="B453" i="1"/>
  <c r="C453" i="1"/>
  <c r="B454" i="1"/>
  <c r="C454" i="1"/>
  <c r="B455" i="1"/>
  <c r="C455" i="1"/>
  <c r="B456" i="1"/>
  <c r="C456" i="1"/>
  <c r="B457" i="1"/>
  <c r="C457" i="1"/>
  <c r="B458" i="1"/>
  <c r="C458" i="1"/>
  <c r="B459" i="1"/>
  <c r="C459" i="1"/>
  <c r="B460" i="1"/>
  <c r="C460" i="1"/>
  <c r="B461" i="1"/>
  <c r="C461" i="1"/>
  <c r="B462" i="1"/>
  <c r="C462" i="1"/>
  <c r="B463" i="1"/>
  <c r="C463" i="1"/>
  <c r="B464" i="1"/>
  <c r="C464" i="1"/>
  <c r="B465" i="1"/>
  <c r="C465" i="1"/>
  <c r="B466" i="1"/>
  <c r="C466" i="1"/>
  <c r="B467" i="1"/>
  <c r="C467" i="1"/>
  <c r="B468" i="1"/>
  <c r="C468" i="1"/>
  <c r="B469" i="1"/>
  <c r="C469" i="1"/>
  <c r="B470" i="1"/>
  <c r="C470" i="1"/>
  <c r="B471" i="1"/>
  <c r="C471" i="1"/>
  <c r="B472" i="1"/>
  <c r="C472" i="1"/>
  <c r="B473" i="1"/>
  <c r="C473" i="1"/>
  <c r="B474" i="1"/>
  <c r="C474" i="1"/>
  <c r="B475" i="1"/>
  <c r="C475" i="1"/>
  <c r="B476" i="1"/>
  <c r="C476" i="1"/>
  <c r="B477" i="1"/>
  <c r="C477" i="1"/>
  <c r="B478" i="1"/>
  <c r="C478" i="1"/>
  <c r="B479" i="1"/>
  <c r="C479" i="1"/>
  <c r="B480" i="1"/>
  <c r="C480" i="1"/>
  <c r="B481" i="1"/>
  <c r="C481" i="1"/>
  <c r="B482" i="1"/>
  <c r="C482" i="1"/>
  <c r="B483" i="1"/>
  <c r="C483" i="1"/>
  <c r="B484" i="1"/>
  <c r="C484" i="1"/>
  <c r="B485" i="1"/>
  <c r="C485" i="1"/>
  <c r="B486" i="1"/>
  <c r="C486" i="1"/>
  <c r="B487" i="1"/>
  <c r="C487" i="1"/>
  <c r="B488" i="1"/>
  <c r="C488" i="1"/>
  <c r="B489" i="1"/>
  <c r="C489" i="1"/>
  <c r="B490" i="1"/>
  <c r="C490" i="1"/>
  <c r="B491" i="1"/>
  <c r="C491" i="1"/>
  <c r="B492" i="1"/>
  <c r="C492" i="1"/>
  <c r="B493" i="1"/>
  <c r="C493" i="1"/>
  <c r="B494" i="1"/>
  <c r="C494" i="1"/>
  <c r="B495" i="1"/>
  <c r="C495" i="1"/>
  <c r="B496" i="1"/>
  <c r="C496" i="1"/>
  <c r="B497" i="1"/>
  <c r="C497" i="1"/>
  <c r="B498" i="1"/>
  <c r="C498" i="1"/>
  <c r="B499" i="1"/>
  <c r="C499" i="1"/>
  <c r="B500" i="1"/>
  <c r="C500" i="1"/>
  <c r="B501" i="1"/>
  <c r="C501" i="1"/>
  <c r="B502" i="1"/>
  <c r="C502" i="1"/>
  <c r="B503" i="1"/>
  <c r="C503" i="1"/>
  <c r="B504" i="1"/>
  <c r="C504" i="1"/>
  <c r="B505" i="1"/>
  <c r="C505" i="1"/>
  <c r="B506" i="1"/>
  <c r="C506" i="1"/>
  <c r="B507" i="1"/>
  <c r="C507" i="1"/>
  <c r="B508" i="1"/>
  <c r="C508" i="1"/>
  <c r="B509" i="1"/>
  <c r="C509" i="1"/>
  <c r="B510" i="1"/>
  <c r="C510" i="1"/>
  <c r="B511" i="1"/>
  <c r="C511" i="1"/>
  <c r="B512" i="1"/>
  <c r="C512" i="1"/>
  <c r="B513" i="1"/>
  <c r="C513" i="1"/>
  <c r="B514" i="1"/>
  <c r="C514" i="1"/>
  <c r="B515" i="1"/>
  <c r="C515" i="1"/>
  <c r="B516" i="1"/>
  <c r="C516" i="1"/>
  <c r="B517" i="1"/>
  <c r="C517" i="1"/>
  <c r="B518" i="1"/>
  <c r="C518" i="1"/>
  <c r="B519" i="1"/>
  <c r="C519" i="1"/>
  <c r="B520" i="1"/>
  <c r="C520" i="1"/>
  <c r="B521" i="1"/>
  <c r="C521" i="1"/>
  <c r="B522" i="1"/>
  <c r="C522" i="1"/>
  <c r="B523" i="1"/>
  <c r="C523" i="1"/>
  <c r="B524" i="1"/>
  <c r="C524" i="1"/>
  <c r="B525" i="1"/>
  <c r="C525" i="1"/>
  <c r="B526" i="1"/>
  <c r="C526" i="1"/>
  <c r="B527" i="1"/>
  <c r="C527" i="1"/>
  <c r="B528" i="1"/>
  <c r="C528" i="1"/>
  <c r="B529" i="1"/>
  <c r="C529" i="1"/>
  <c r="B530" i="1"/>
  <c r="C530" i="1"/>
  <c r="B531" i="1"/>
  <c r="C531" i="1"/>
  <c r="B532" i="1"/>
  <c r="C532" i="1"/>
  <c r="B533" i="1"/>
  <c r="C533" i="1"/>
  <c r="B534" i="1"/>
  <c r="C534" i="1"/>
  <c r="B535" i="1"/>
  <c r="C535" i="1"/>
  <c r="B536" i="1"/>
  <c r="C536" i="1"/>
  <c r="B537" i="1"/>
  <c r="C537" i="1"/>
  <c r="B538" i="1"/>
  <c r="C538" i="1"/>
  <c r="B539" i="1"/>
  <c r="C539" i="1"/>
  <c r="B540" i="1"/>
  <c r="C540" i="1"/>
  <c r="B541" i="1"/>
  <c r="C541" i="1"/>
  <c r="B542" i="1"/>
  <c r="C542" i="1"/>
  <c r="B543" i="1"/>
  <c r="C543" i="1"/>
  <c r="B544" i="1"/>
  <c r="C544" i="1"/>
  <c r="B545" i="1"/>
  <c r="C545" i="1"/>
  <c r="B546" i="1"/>
  <c r="C546" i="1"/>
  <c r="B547" i="1"/>
  <c r="C547" i="1"/>
  <c r="B548" i="1"/>
  <c r="C548" i="1"/>
  <c r="B549" i="1"/>
  <c r="C549" i="1"/>
  <c r="B550" i="1"/>
  <c r="C550" i="1"/>
  <c r="B551" i="1"/>
  <c r="C551" i="1"/>
  <c r="B552" i="1"/>
  <c r="C552" i="1"/>
  <c r="B553" i="1"/>
  <c r="C553" i="1"/>
  <c r="B554" i="1"/>
  <c r="C554" i="1"/>
  <c r="B555" i="1"/>
  <c r="C555" i="1"/>
  <c r="B556" i="1"/>
  <c r="C556" i="1"/>
  <c r="B557" i="1"/>
  <c r="C557" i="1"/>
  <c r="B558" i="1"/>
  <c r="C558" i="1"/>
  <c r="B559" i="1"/>
  <c r="C559" i="1"/>
  <c r="B560" i="1"/>
  <c r="C560" i="1"/>
  <c r="B561" i="1"/>
  <c r="C561" i="1"/>
  <c r="B562" i="1"/>
  <c r="C562" i="1"/>
  <c r="B563" i="1"/>
  <c r="C563" i="1"/>
  <c r="B564" i="1"/>
  <c r="C564" i="1"/>
  <c r="B565" i="1"/>
  <c r="C565" i="1"/>
  <c r="B566" i="1"/>
  <c r="C566" i="1"/>
  <c r="B567" i="1"/>
  <c r="C567" i="1"/>
  <c r="B568" i="1"/>
  <c r="C568" i="1"/>
  <c r="B569" i="1"/>
  <c r="C569" i="1"/>
  <c r="B570" i="1"/>
  <c r="C570" i="1"/>
  <c r="B571" i="1"/>
  <c r="C571" i="1"/>
  <c r="B572" i="1"/>
  <c r="C572" i="1"/>
  <c r="B573" i="1"/>
  <c r="C573" i="1"/>
  <c r="B574" i="1"/>
  <c r="C574" i="1"/>
  <c r="B575" i="1"/>
  <c r="C575" i="1"/>
  <c r="B576" i="1"/>
  <c r="C576" i="1"/>
  <c r="B577" i="1"/>
  <c r="C577" i="1"/>
  <c r="B578" i="1"/>
  <c r="C578" i="1"/>
  <c r="B579" i="1"/>
  <c r="C579" i="1"/>
  <c r="B580" i="1"/>
  <c r="C580" i="1"/>
  <c r="B581" i="1"/>
  <c r="C581" i="1"/>
  <c r="B582" i="1"/>
  <c r="C582" i="1"/>
  <c r="B583" i="1"/>
  <c r="C583" i="1"/>
  <c r="B584" i="1"/>
  <c r="C584" i="1"/>
  <c r="B585" i="1"/>
  <c r="C585" i="1"/>
  <c r="B586" i="1"/>
  <c r="C586" i="1"/>
  <c r="B587" i="1"/>
  <c r="C587" i="1"/>
  <c r="B588" i="1"/>
  <c r="C588" i="1"/>
  <c r="B589" i="1"/>
  <c r="C589" i="1"/>
  <c r="B590" i="1"/>
  <c r="C590" i="1"/>
  <c r="B591" i="1"/>
  <c r="C591" i="1"/>
  <c r="B592" i="1"/>
  <c r="C592" i="1"/>
  <c r="B593" i="1"/>
  <c r="C593" i="1"/>
  <c r="B594" i="1"/>
  <c r="C594" i="1"/>
  <c r="B595" i="1"/>
  <c r="C595" i="1"/>
  <c r="B596" i="1"/>
  <c r="C596" i="1"/>
  <c r="B597" i="1"/>
  <c r="C597" i="1"/>
  <c r="B598" i="1"/>
  <c r="C598" i="1"/>
  <c r="B599" i="1"/>
  <c r="C599" i="1"/>
  <c r="B600" i="1"/>
  <c r="C600" i="1"/>
  <c r="B601" i="1"/>
  <c r="C601" i="1"/>
  <c r="B602" i="1"/>
  <c r="C602" i="1"/>
  <c r="B603" i="1"/>
  <c r="C603" i="1"/>
  <c r="B604" i="1"/>
  <c r="C604" i="1"/>
  <c r="B605" i="1"/>
  <c r="C605" i="1"/>
  <c r="B606" i="1"/>
  <c r="C606" i="1"/>
  <c r="B607" i="1"/>
  <c r="C607" i="1"/>
  <c r="B608" i="1"/>
  <c r="C608" i="1"/>
  <c r="B609" i="1"/>
  <c r="C609" i="1"/>
  <c r="B610" i="1"/>
  <c r="C610" i="1"/>
  <c r="B611" i="1"/>
  <c r="C611" i="1"/>
  <c r="B612" i="1"/>
  <c r="C612" i="1"/>
  <c r="B613" i="1"/>
  <c r="C613" i="1"/>
  <c r="B614" i="1"/>
  <c r="C614" i="1"/>
  <c r="B615" i="1"/>
  <c r="C615" i="1"/>
  <c r="B616" i="1"/>
  <c r="C616" i="1"/>
  <c r="B617" i="1"/>
  <c r="C617" i="1"/>
  <c r="B618" i="1"/>
  <c r="C618" i="1"/>
  <c r="B619" i="1"/>
  <c r="C619" i="1"/>
  <c r="B620" i="1"/>
  <c r="C620" i="1"/>
  <c r="B621" i="1"/>
  <c r="C621" i="1"/>
  <c r="B622" i="1"/>
  <c r="C622" i="1"/>
  <c r="B623" i="1"/>
  <c r="C623" i="1"/>
  <c r="B624" i="1"/>
  <c r="C624" i="1"/>
  <c r="B625" i="1"/>
  <c r="C625" i="1"/>
  <c r="B626" i="1"/>
  <c r="C626" i="1"/>
  <c r="B627" i="1"/>
  <c r="C627" i="1"/>
  <c r="B628" i="1"/>
  <c r="C628" i="1"/>
  <c r="B629" i="1"/>
  <c r="C629" i="1"/>
  <c r="B630" i="1"/>
  <c r="C630" i="1"/>
  <c r="B631" i="1"/>
  <c r="C631" i="1"/>
  <c r="B632" i="1"/>
  <c r="C632" i="1"/>
  <c r="B633" i="1"/>
  <c r="C633" i="1"/>
  <c r="B634" i="1"/>
  <c r="C634" i="1"/>
  <c r="B635" i="1"/>
  <c r="C635" i="1"/>
  <c r="B636" i="1"/>
  <c r="C636" i="1"/>
  <c r="B637" i="1"/>
  <c r="C637" i="1"/>
  <c r="B638" i="1"/>
  <c r="C638" i="1"/>
  <c r="B639" i="1"/>
  <c r="C639" i="1"/>
  <c r="B640" i="1"/>
  <c r="C640" i="1"/>
  <c r="B641" i="1"/>
  <c r="C641" i="1"/>
  <c r="B642" i="1"/>
  <c r="C642" i="1"/>
  <c r="B643" i="1"/>
  <c r="C643" i="1"/>
  <c r="B644" i="1"/>
  <c r="C644" i="1"/>
  <c r="B645" i="1"/>
  <c r="C645" i="1"/>
  <c r="B646" i="1"/>
  <c r="C646" i="1"/>
  <c r="B647" i="1"/>
  <c r="C647" i="1"/>
  <c r="B648" i="1"/>
  <c r="C648" i="1"/>
  <c r="B649" i="1"/>
  <c r="C649" i="1"/>
  <c r="B650" i="1"/>
  <c r="C650" i="1"/>
  <c r="B651" i="1"/>
  <c r="C651" i="1"/>
  <c r="B652" i="1"/>
  <c r="C652" i="1"/>
  <c r="B653" i="1"/>
  <c r="C653" i="1"/>
  <c r="B654" i="1"/>
  <c r="C654" i="1"/>
  <c r="B655" i="1"/>
  <c r="C655" i="1"/>
  <c r="B656" i="1"/>
  <c r="C656" i="1"/>
  <c r="B657" i="1"/>
  <c r="C657" i="1"/>
  <c r="B658" i="1"/>
  <c r="C658" i="1"/>
  <c r="B659" i="1"/>
  <c r="C659" i="1"/>
  <c r="B660" i="1"/>
  <c r="C660" i="1"/>
  <c r="B661" i="1"/>
  <c r="C661" i="1"/>
  <c r="B662" i="1"/>
  <c r="C662" i="1"/>
  <c r="B663" i="1"/>
  <c r="C663" i="1"/>
  <c r="B664" i="1"/>
  <c r="C664" i="1"/>
  <c r="B665" i="1"/>
  <c r="C665" i="1"/>
  <c r="B666" i="1"/>
  <c r="C666" i="1"/>
  <c r="B667" i="1"/>
  <c r="C667" i="1"/>
  <c r="B668" i="1"/>
  <c r="C668" i="1"/>
  <c r="B669" i="1"/>
  <c r="C669" i="1"/>
  <c r="B670" i="1"/>
  <c r="C670" i="1"/>
  <c r="B671" i="1"/>
  <c r="C671" i="1"/>
  <c r="B672" i="1"/>
  <c r="C672" i="1"/>
  <c r="B673" i="1"/>
  <c r="C673" i="1"/>
  <c r="B674" i="1"/>
  <c r="C674" i="1"/>
  <c r="B675" i="1"/>
  <c r="C675" i="1"/>
  <c r="B676" i="1"/>
  <c r="C676" i="1"/>
  <c r="B677" i="1"/>
  <c r="C677" i="1"/>
  <c r="B678" i="1"/>
  <c r="C678" i="1"/>
  <c r="B679" i="1"/>
  <c r="C679" i="1"/>
  <c r="B680" i="1"/>
  <c r="C680" i="1"/>
  <c r="B681" i="1"/>
  <c r="C681" i="1"/>
  <c r="B682" i="1"/>
  <c r="C682" i="1"/>
  <c r="B683" i="1"/>
  <c r="C683" i="1"/>
  <c r="B684" i="1"/>
  <c r="C684" i="1"/>
  <c r="B685" i="1"/>
  <c r="C685" i="1"/>
  <c r="B686" i="1"/>
  <c r="C686" i="1"/>
  <c r="B687" i="1"/>
  <c r="C687" i="1"/>
  <c r="B688" i="1"/>
  <c r="C688" i="1"/>
  <c r="B689" i="1"/>
  <c r="C689" i="1"/>
  <c r="B690" i="1"/>
  <c r="C690" i="1"/>
  <c r="B691" i="1"/>
  <c r="C691" i="1"/>
  <c r="B692" i="1"/>
  <c r="C692" i="1"/>
  <c r="B693" i="1"/>
  <c r="C693" i="1"/>
  <c r="B694" i="1"/>
  <c r="C694" i="1"/>
  <c r="B695" i="1"/>
  <c r="C695" i="1"/>
  <c r="B696" i="1"/>
  <c r="C696" i="1"/>
  <c r="B697" i="1"/>
  <c r="C697" i="1"/>
  <c r="B698" i="1"/>
  <c r="C698" i="1"/>
  <c r="B699" i="1"/>
  <c r="C699" i="1"/>
  <c r="B700" i="1"/>
  <c r="C700" i="1"/>
  <c r="B701" i="1"/>
  <c r="C701" i="1"/>
  <c r="B702" i="1"/>
  <c r="C702" i="1"/>
  <c r="B703" i="1"/>
  <c r="C703" i="1"/>
  <c r="B704" i="1"/>
  <c r="C704" i="1"/>
  <c r="B705" i="1"/>
  <c r="C705" i="1"/>
  <c r="B706" i="1"/>
  <c r="C706" i="1"/>
  <c r="B707" i="1"/>
  <c r="C707" i="1"/>
  <c r="B708" i="1"/>
  <c r="C708" i="1"/>
  <c r="B709" i="1"/>
  <c r="C709" i="1"/>
  <c r="B710" i="1"/>
  <c r="C710" i="1"/>
  <c r="B711" i="1"/>
  <c r="C711" i="1"/>
  <c r="B712" i="1"/>
  <c r="C712" i="1"/>
  <c r="B713" i="1"/>
  <c r="C713" i="1"/>
  <c r="B714" i="1"/>
  <c r="C714" i="1"/>
  <c r="B715" i="1"/>
  <c r="C715" i="1"/>
  <c r="B716" i="1"/>
  <c r="C716" i="1"/>
  <c r="B717" i="1"/>
  <c r="C717" i="1"/>
  <c r="B718" i="1"/>
  <c r="C718" i="1"/>
  <c r="B719" i="1"/>
  <c r="C719" i="1"/>
  <c r="B720" i="1"/>
  <c r="C720" i="1"/>
  <c r="B721" i="1"/>
  <c r="C721" i="1"/>
  <c r="B722" i="1"/>
  <c r="C722" i="1"/>
  <c r="B723" i="1"/>
  <c r="C723" i="1"/>
  <c r="B724" i="1"/>
  <c r="C724" i="1"/>
  <c r="B725" i="1"/>
  <c r="C725" i="1"/>
  <c r="B726" i="1"/>
  <c r="C726" i="1"/>
  <c r="B727" i="1"/>
  <c r="C727" i="1"/>
  <c r="B728" i="1"/>
  <c r="C728" i="1"/>
  <c r="B729" i="1"/>
  <c r="C729" i="1"/>
  <c r="B730" i="1"/>
  <c r="C730" i="1"/>
  <c r="B731" i="1"/>
  <c r="C731" i="1"/>
  <c r="B732" i="1"/>
  <c r="C732" i="1"/>
  <c r="B733" i="1"/>
  <c r="C733" i="1"/>
  <c r="B734" i="1"/>
  <c r="C734" i="1"/>
  <c r="B735" i="1"/>
  <c r="C735" i="1"/>
  <c r="B736" i="1"/>
  <c r="C736" i="1"/>
  <c r="B737" i="1"/>
  <c r="C737" i="1"/>
  <c r="B738" i="1"/>
  <c r="C738" i="1"/>
  <c r="B739" i="1"/>
  <c r="C739" i="1"/>
  <c r="B740" i="1"/>
  <c r="C740" i="1"/>
  <c r="B741" i="1"/>
  <c r="C741" i="1"/>
  <c r="B742" i="1"/>
  <c r="C742" i="1"/>
  <c r="B743" i="1"/>
  <c r="C743" i="1"/>
  <c r="B744" i="1"/>
  <c r="C744" i="1"/>
  <c r="B745" i="1"/>
  <c r="C745" i="1"/>
  <c r="B746" i="1"/>
  <c r="C746" i="1"/>
  <c r="B747" i="1"/>
  <c r="C747" i="1"/>
  <c r="B748" i="1"/>
  <c r="C748" i="1"/>
  <c r="B749" i="1"/>
  <c r="C749" i="1"/>
  <c r="B750" i="1"/>
  <c r="C750" i="1"/>
  <c r="B751" i="1"/>
  <c r="C751" i="1"/>
  <c r="B752" i="1"/>
  <c r="C752" i="1"/>
  <c r="B753" i="1"/>
  <c r="C753" i="1"/>
  <c r="B754" i="1"/>
  <c r="C754" i="1"/>
  <c r="B755" i="1"/>
  <c r="C755" i="1"/>
  <c r="B756" i="1"/>
  <c r="C756" i="1"/>
  <c r="B757" i="1"/>
  <c r="C757" i="1"/>
  <c r="B758" i="1"/>
  <c r="C758" i="1"/>
  <c r="B759" i="1"/>
  <c r="C759" i="1"/>
  <c r="B760" i="1"/>
  <c r="C760" i="1"/>
  <c r="B761" i="1"/>
  <c r="C761" i="1"/>
  <c r="B762" i="1"/>
  <c r="C762" i="1"/>
  <c r="B763" i="1"/>
  <c r="C763" i="1"/>
  <c r="B764" i="1"/>
  <c r="C764" i="1"/>
  <c r="B765" i="1"/>
  <c r="C765" i="1"/>
  <c r="B766" i="1"/>
  <c r="C766" i="1"/>
  <c r="B767" i="1"/>
  <c r="C767" i="1"/>
  <c r="B768" i="1"/>
  <c r="C768" i="1"/>
  <c r="B769" i="1"/>
  <c r="C769" i="1"/>
  <c r="B770" i="1"/>
  <c r="C770" i="1"/>
  <c r="B771" i="1"/>
  <c r="C771" i="1"/>
  <c r="B772" i="1"/>
  <c r="C772" i="1"/>
  <c r="B773" i="1"/>
  <c r="C773" i="1"/>
  <c r="B774" i="1"/>
  <c r="C774" i="1"/>
  <c r="B775" i="1"/>
  <c r="C775" i="1"/>
  <c r="B776" i="1"/>
  <c r="C776" i="1"/>
  <c r="B777" i="1"/>
  <c r="C777" i="1"/>
  <c r="B778" i="1"/>
  <c r="C778" i="1"/>
  <c r="B779" i="1"/>
  <c r="C779" i="1"/>
  <c r="B780" i="1"/>
  <c r="C780" i="1"/>
  <c r="B781" i="1"/>
  <c r="C781" i="1"/>
  <c r="B782" i="1"/>
  <c r="C782" i="1"/>
  <c r="B783" i="1"/>
  <c r="C783" i="1"/>
  <c r="B784" i="1"/>
  <c r="C784" i="1"/>
  <c r="B785" i="1"/>
  <c r="C785" i="1"/>
  <c r="B786" i="1"/>
  <c r="C786" i="1"/>
  <c r="B787" i="1"/>
  <c r="C787" i="1"/>
  <c r="B788" i="1"/>
  <c r="C788" i="1"/>
  <c r="B789" i="1"/>
  <c r="C789" i="1"/>
  <c r="B790" i="1"/>
  <c r="C790" i="1"/>
  <c r="B791" i="1"/>
  <c r="C791" i="1"/>
  <c r="B792" i="1"/>
  <c r="C792" i="1"/>
  <c r="B793" i="1"/>
  <c r="C793" i="1"/>
  <c r="B794" i="1"/>
  <c r="C794" i="1"/>
  <c r="B795" i="1"/>
  <c r="C795" i="1"/>
  <c r="B796" i="1"/>
  <c r="C796" i="1"/>
  <c r="B797" i="1"/>
  <c r="C797" i="1"/>
  <c r="B798" i="1"/>
  <c r="C798" i="1"/>
  <c r="B799" i="1"/>
  <c r="C799" i="1"/>
  <c r="B800" i="1"/>
  <c r="C800" i="1"/>
  <c r="B801" i="1"/>
  <c r="C801" i="1"/>
  <c r="B802" i="1"/>
  <c r="C802" i="1"/>
  <c r="B803" i="1"/>
  <c r="C803" i="1"/>
  <c r="B804" i="1"/>
  <c r="C804" i="1"/>
  <c r="B805" i="1"/>
  <c r="C805" i="1"/>
  <c r="B806" i="1"/>
  <c r="C806" i="1"/>
  <c r="B807" i="1"/>
  <c r="C807" i="1"/>
  <c r="B808" i="1"/>
  <c r="C808" i="1"/>
  <c r="B809" i="1"/>
  <c r="C809" i="1"/>
  <c r="B810" i="1"/>
  <c r="C810" i="1"/>
  <c r="B811" i="1"/>
  <c r="C811" i="1"/>
  <c r="B812" i="1"/>
  <c r="C812" i="1"/>
  <c r="B813" i="1"/>
  <c r="C813" i="1"/>
  <c r="B814" i="1"/>
  <c r="C814" i="1"/>
  <c r="B815" i="1"/>
  <c r="C815" i="1"/>
  <c r="B816" i="1"/>
  <c r="C816" i="1"/>
  <c r="B817" i="1"/>
  <c r="C817" i="1"/>
  <c r="B818" i="1"/>
  <c r="C818" i="1"/>
  <c r="B819" i="1"/>
  <c r="C819" i="1"/>
  <c r="B820" i="1"/>
  <c r="C820" i="1"/>
  <c r="B821" i="1"/>
  <c r="C821" i="1"/>
  <c r="B822" i="1"/>
  <c r="C822" i="1"/>
  <c r="B823" i="1"/>
  <c r="C823" i="1"/>
  <c r="B824" i="1"/>
  <c r="C824" i="1"/>
  <c r="B825" i="1"/>
  <c r="C825" i="1"/>
  <c r="B826" i="1"/>
  <c r="C826" i="1"/>
  <c r="B827" i="1"/>
  <c r="C827" i="1"/>
  <c r="B828" i="1"/>
  <c r="C828" i="1"/>
  <c r="B829" i="1"/>
  <c r="C829" i="1"/>
  <c r="B830" i="1"/>
  <c r="C830" i="1"/>
  <c r="B831" i="1"/>
  <c r="C831" i="1"/>
  <c r="B832" i="1"/>
  <c r="C832" i="1"/>
  <c r="B833" i="1"/>
  <c r="C833" i="1"/>
  <c r="B834" i="1"/>
  <c r="C834" i="1"/>
  <c r="B835" i="1"/>
  <c r="C835" i="1"/>
  <c r="B836" i="1"/>
  <c r="C836" i="1"/>
  <c r="B837" i="1"/>
  <c r="C837" i="1"/>
  <c r="B838" i="1"/>
  <c r="C838" i="1"/>
  <c r="B839" i="1"/>
  <c r="C839" i="1"/>
  <c r="B840" i="1"/>
  <c r="C840" i="1"/>
  <c r="B841" i="1"/>
  <c r="C841" i="1"/>
  <c r="B842" i="1"/>
  <c r="C842" i="1"/>
  <c r="B843" i="1"/>
  <c r="C843" i="1"/>
  <c r="B844" i="1"/>
  <c r="C844" i="1"/>
  <c r="B845" i="1"/>
  <c r="C845" i="1"/>
  <c r="B846" i="1"/>
  <c r="C846" i="1"/>
  <c r="B847" i="1"/>
  <c r="C847" i="1"/>
  <c r="B848" i="1"/>
  <c r="C848" i="1"/>
  <c r="B849" i="1"/>
  <c r="C849" i="1"/>
  <c r="B850" i="1"/>
  <c r="C850" i="1"/>
  <c r="B851" i="1"/>
  <c r="C851" i="1"/>
  <c r="B852" i="1"/>
  <c r="C852" i="1"/>
  <c r="B853" i="1"/>
  <c r="C853" i="1"/>
  <c r="B854" i="1"/>
  <c r="C854" i="1"/>
  <c r="B855" i="1"/>
  <c r="C855" i="1"/>
  <c r="B856" i="1"/>
  <c r="C856" i="1"/>
  <c r="B857" i="1"/>
  <c r="C857" i="1"/>
  <c r="B858" i="1"/>
  <c r="C858" i="1"/>
  <c r="B859" i="1"/>
  <c r="C859" i="1"/>
  <c r="B860" i="1"/>
  <c r="C860" i="1"/>
  <c r="B861" i="1"/>
  <c r="C861" i="1"/>
  <c r="B862" i="1"/>
  <c r="C862" i="1"/>
  <c r="B863" i="1"/>
  <c r="C863" i="1"/>
  <c r="B864" i="1"/>
  <c r="C864" i="1"/>
  <c r="B865" i="1"/>
  <c r="C865" i="1"/>
  <c r="B866" i="1"/>
  <c r="C866" i="1"/>
  <c r="B867" i="1"/>
  <c r="C867" i="1"/>
  <c r="B868" i="1"/>
  <c r="C868" i="1"/>
  <c r="B869" i="1"/>
  <c r="C869" i="1"/>
  <c r="B870" i="1"/>
  <c r="C870" i="1"/>
  <c r="B871" i="1"/>
  <c r="C871" i="1"/>
  <c r="B872" i="1"/>
  <c r="C872" i="1"/>
  <c r="B873" i="1"/>
  <c r="C873" i="1"/>
  <c r="B874" i="1"/>
  <c r="C874" i="1"/>
  <c r="B875" i="1"/>
  <c r="C875" i="1"/>
  <c r="B876" i="1"/>
  <c r="C876" i="1"/>
  <c r="B877" i="1"/>
  <c r="C877" i="1"/>
  <c r="B878" i="1"/>
  <c r="C878" i="1"/>
  <c r="B879" i="1"/>
  <c r="C879" i="1"/>
  <c r="B880" i="1"/>
  <c r="C880" i="1"/>
  <c r="B881" i="1"/>
  <c r="C881" i="1"/>
  <c r="B882" i="1"/>
  <c r="C882" i="1"/>
  <c r="B883" i="1"/>
  <c r="C883" i="1"/>
  <c r="B884" i="1"/>
  <c r="C884" i="1"/>
  <c r="B885" i="1"/>
  <c r="C885" i="1"/>
  <c r="B886" i="1"/>
  <c r="C886" i="1"/>
  <c r="B887" i="1"/>
  <c r="C887" i="1"/>
  <c r="B888" i="1"/>
  <c r="C888" i="1"/>
  <c r="B889" i="1"/>
  <c r="C889" i="1"/>
  <c r="B890" i="1"/>
  <c r="C890" i="1"/>
  <c r="B891" i="1"/>
  <c r="C891" i="1"/>
  <c r="B892" i="1"/>
  <c r="C892" i="1"/>
  <c r="B893" i="1"/>
  <c r="C893" i="1"/>
  <c r="B894" i="1"/>
  <c r="C894" i="1"/>
  <c r="B895" i="1"/>
  <c r="C895" i="1"/>
  <c r="B896" i="1"/>
  <c r="C896" i="1"/>
  <c r="B897" i="1"/>
  <c r="C897" i="1"/>
  <c r="B898" i="1"/>
  <c r="C898" i="1"/>
  <c r="B899" i="1"/>
  <c r="C899" i="1"/>
  <c r="B900" i="1"/>
  <c r="C900" i="1"/>
  <c r="B901" i="1"/>
  <c r="C901" i="1"/>
  <c r="B902" i="1"/>
  <c r="C902" i="1"/>
  <c r="B903" i="1"/>
  <c r="C903" i="1"/>
  <c r="B904" i="1"/>
  <c r="C904" i="1"/>
  <c r="B905" i="1"/>
  <c r="C905" i="1"/>
  <c r="B906" i="1"/>
  <c r="C906" i="1"/>
  <c r="B907" i="1"/>
  <c r="C907" i="1"/>
  <c r="B908" i="1"/>
  <c r="C908" i="1"/>
  <c r="B909" i="1"/>
  <c r="C909" i="1"/>
  <c r="B910" i="1"/>
  <c r="C910" i="1"/>
  <c r="B911" i="1"/>
  <c r="C911" i="1"/>
  <c r="B912" i="1"/>
  <c r="C912" i="1"/>
  <c r="B913" i="1"/>
  <c r="C913" i="1"/>
  <c r="B914" i="1"/>
  <c r="C914" i="1"/>
  <c r="B915" i="1"/>
  <c r="C915" i="1"/>
  <c r="B916" i="1"/>
  <c r="C916" i="1"/>
  <c r="B917" i="1"/>
  <c r="C917" i="1"/>
  <c r="B918" i="1"/>
  <c r="C918" i="1"/>
  <c r="B919" i="1"/>
  <c r="C919" i="1"/>
  <c r="B920" i="1"/>
  <c r="C920" i="1"/>
  <c r="B921" i="1"/>
  <c r="C921" i="1"/>
  <c r="B922" i="1"/>
  <c r="C922" i="1"/>
  <c r="B923" i="1"/>
  <c r="C923" i="1"/>
  <c r="B924" i="1"/>
  <c r="C924" i="1"/>
  <c r="B925" i="1"/>
  <c r="C925" i="1"/>
</calcChain>
</file>

<file path=xl/sharedStrings.xml><?xml version="1.0" encoding="utf-8"?>
<sst xmlns="http://schemas.openxmlformats.org/spreadsheetml/2006/main" count="4085" uniqueCount="1319">
  <si>
    <t>List - Id</t>
  </si>
  <si>
    <t>P-Code</t>
  </si>
  <si>
    <t>UPC-Code</t>
  </si>
  <si>
    <t>Universal Number</t>
  </si>
  <si>
    <t>Prod-Desc</t>
  </si>
  <si>
    <t>List Price</t>
  </si>
  <si>
    <t>/Per</t>
  </si>
  <si>
    <t>Eff-Date</t>
  </si>
  <si>
    <t>Unit Wght Kgs</t>
  </si>
  <si>
    <t>Unit Wght Lbs</t>
  </si>
  <si>
    <t>Carton Qty</t>
  </si>
  <si>
    <t>Price Class</t>
  </si>
  <si>
    <t>1/2" PVC SCH40 TEE SOCxSOCxSOC WHITE XIRTEC PVC</t>
  </si>
  <si>
    <t>/1</t>
  </si>
  <si>
    <t>035DA</t>
  </si>
  <si>
    <t>3/4" PVC SCH40 TEE SOCxSOCxSOC WHITE XIRTEC PVC</t>
  </si>
  <si>
    <t>1" PVC SCH40 TEE SOCxSOCxSOC WHITE XIRTEC PVC</t>
  </si>
  <si>
    <t>1 1/4" PVC SCH40 TEE SOCxSOCxSOC WHITE XIRTEC PVC</t>
  </si>
  <si>
    <t>1 1/2" PVC SCH40 TEE SOCxSOCxSOC WHITE XIRTEC PVC</t>
  </si>
  <si>
    <t>2" PVC SCH40 TEE SOCxSOCxSOC WHITE XIRTEC PVC</t>
  </si>
  <si>
    <t>2 1/2" PVC SCH40 TEE SOCxSOCxSOC WHITE XIRTEC PVC</t>
  </si>
  <si>
    <t>3" PVC SCH40 TEE SOCxSOCxSOC WHITE XIRTEC PVC</t>
  </si>
  <si>
    <t>4" PVC SCH40 TEE SOCxSOCxSOC WHITE XIRTEC PVC</t>
  </si>
  <si>
    <t>5" PVC SCH40 TEE SOCxSOCxSOC WHITE XIRTEC PVC</t>
  </si>
  <si>
    <t>6" PVC SCH40 TEE SOCxSOCxSOC WHITE XIRTEC PVC</t>
  </si>
  <si>
    <t>8" PVC SCH40 TEE SOCxSOCxSOC WHITE XIRTEC PVC</t>
  </si>
  <si>
    <t>10" PVC SCH40 TEE SOCxSOCxSOC WHITE XIRTEC PVC</t>
  </si>
  <si>
    <t>035DB</t>
  </si>
  <si>
    <t>12" PVC SCH40 TEE SOCxSOCxSOC WHITE XIRTEC PVC</t>
  </si>
  <si>
    <t>401100F</t>
  </si>
  <si>
    <t>10" PVC SCH40 TEE HxHxH FAB XIRTEC PVC</t>
  </si>
  <si>
    <t>035DC</t>
  </si>
  <si>
    <t>401120F</t>
  </si>
  <si>
    <t>12" PVC SCH40 TEE HxHxH FAB XIRTEC PVC</t>
  </si>
  <si>
    <t>401140F</t>
  </si>
  <si>
    <t>14" PVC SCH40 TEE HxHxH FAB XIRTEC PVC</t>
  </si>
  <si>
    <t>401160F</t>
  </si>
  <si>
    <t>16" PVC SCH40 TEE HxHxH FAB XIRTEC PVC</t>
  </si>
  <si>
    <t>401180F</t>
  </si>
  <si>
    <t>18" PVC SCH40 TEE HxHxH FAB XIRTEC PVC</t>
  </si>
  <si>
    <t>401200F</t>
  </si>
  <si>
    <t>20" PVC SCH40 TEE HxHxH FAB XIRTEC PVC</t>
  </si>
  <si>
    <t>401240F</t>
  </si>
  <si>
    <t>24" PVC SCH40 TEE HxHxH FAB XIRTEC PVC</t>
  </si>
  <si>
    <t>1/2"x3/4" PVC SCH40 RED. TEE SOCxSOCxSOC WHITE XIRTEC PVC</t>
  </si>
  <si>
    <t>1/2"x1/2"x1" PVC SCH40 RED. TEE SOCxSOCxSOC WHITE XIRTEC PVC</t>
  </si>
  <si>
    <t>3/4"x1/2"x1/2" PVC SCH40 RED. TEE SOCxSOCxSOC WHITE XIRTEC PVC</t>
  </si>
  <si>
    <t>3/4"x1/2"x3/4" PVC SCH40 RED. TEE SOCxSOCxSOC WHITE XIRTEC PVC</t>
  </si>
  <si>
    <t>3/4"x1/2" PVC SCH40 RED. TEE SOCxSOCxSOC WHITE XIRTEC PVC</t>
  </si>
  <si>
    <t>3/4"x1" PVC SCH40 RED. TEE SOCxSOCxSOC WHITE XIRTEC PVC</t>
  </si>
  <si>
    <t>1"x1/2"x1" PVC SCH40 RED.TEE SOCxSOCxSOC WHITE XIRTEC PVC</t>
  </si>
  <si>
    <t>1"x3/4"x1/2" PVC SCH40 RED. TEE SOCxSOCxSOC WHITE XIRTEC PVC</t>
  </si>
  <si>
    <t>1"x3/4"x3/4" PVC SCH40 RED. TEE SOCxSOCxSOC WHITE XIRTEC PVC</t>
  </si>
  <si>
    <t>1"x3/4"x1" PVC SCH40 RED.TEE SOCxSOCxSOC WHITE XIRTEC PVC</t>
  </si>
  <si>
    <t>1"x1/2" PVC SCH40 RED. TEE SOCxSOCxSOC WHITE XIRTEC PVC</t>
  </si>
  <si>
    <t>1"x3/4" PVC SCH40 RED. TEE SOCxSOCxSOC WHITE XIRTEC PVC</t>
  </si>
  <si>
    <t>1"x1 1/4" PVC SCH40 RED. TEE SOCxSOCxSOC WHITE XIRTEC PVC</t>
  </si>
  <si>
    <t>1"x1 1/2" PVC SCH40 RED. TEE SOCxSOCxSOC WHITE XIRTEC PVC</t>
  </si>
  <si>
    <t>1 1/4"x1"x1/2" PVC SCH40 RED. TEE SOCxSOCxSOC WHITE XIRTEC PVC</t>
  </si>
  <si>
    <t>1 1/4"x1"x3/4" PVC SCH40 RED. TEE SOCxSOCxSOC WHITE XIRTEC PVC</t>
  </si>
  <si>
    <t>1 1/4"x1"x1" PVC SCH40 RED. TEE SOCxSOCxSOC WHITE XIRTEC PVC</t>
  </si>
  <si>
    <t>1 1/4"x1/2" PVC SCH40 RED. TEE SOCxSOCxSOC WHITE XIRTEC PVC</t>
  </si>
  <si>
    <t>1 1/4"x3/4" PVC SCH40 RED. TEE SOCxSOCxSOC WHITE XIRTEC PVC</t>
  </si>
  <si>
    <t>1 1/4"x1" PVC SCH40 RED. TEE SOCxSOCxSOC WHITE XIRTEC PVC</t>
  </si>
  <si>
    <t>1 1/4"x1 1/2" PVC SCH40 RED. TEE SOCxSOCxSOC WHITE XIRTEC PVC</t>
  </si>
  <si>
    <t>1 1/4" X 1 1/4" X 2" S40 REDUCING TEE SOC XIRTEC PVC WHT</t>
  </si>
  <si>
    <t>1 1/2"x1 1/4"x1/2" PVC SCH40 RED. TEE SOCxSOCxSOC WHITE XIRTEC</t>
  </si>
  <si>
    <t>1 1/2"x1 1/4"x3/4" PVC SCH40 RED. TEE SOCxSOCxSOC WHITE XIRTEC</t>
  </si>
  <si>
    <t>1 1/2"x1 1/4"x1" PVC SCH40 RED. TEE SOCxSOCxSOC XIRTEC PVC</t>
  </si>
  <si>
    <t>1 1/2"x1/2" PVC SCH40 RED. TEE SOCxSOCxSOC WHITE XIRTEC PVC</t>
  </si>
  <si>
    <t>1 1/2"x3/4" PVC SCH40 RED. TEE SOCxSOCxSOC WHITE XIRTEC PVC</t>
  </si>
  <si>
    <t>1 1/2"x1" PVC SCH40 RED. TEE SOCxSOCxSOC WHITE XIRTEC PVC</t>
  </si>
  <si>
    <t>1 1/2"x1 1/4" PVC SCH40 RED. TEE SOCxSOCxSOC WHITE XIRTEC PVC</t>
  </si>
  <si>
    <t>1 1/2"x2" PVC SCH40 RED. TEE SOCxSOCxSOC WHITE XIRTEC PVC</t>
  </si>
  <si>
    <t>1 1/2"x2 1/2" PVC SCH40 RED. TEE SOCxSOCxSOC WHITE XIRTEC PVC</t>
  </si>
  <si>
    <t>2"x1 1/2"x3/4" PVC SCH40 RED. TEE SOCxSOCxSOC WHITE XIRTEC PVC</t>
  </si>
  <si>
    <t>2"x1 1/2"x1" PVC SCH40 RED. TEE SOCxSOCxSOC WHITE XIRTEC PVC</t>
  </si>
  <si>
    <t>2"x1 1/2"x1 1/2" PVC SCH40 RED. TEE SOCxSOCxSOC XIRTEC PVC</t>
  </si>
  <si>
    <t>2"x1/2" PVC SCH40 RED. TEE SOCxSOCxSOC WHITE XIRTEC PVC</t>
  </si>
  <si>
    <t>2"x3/4" PVC SCH40 RED. TEE SOCxSOCxSOC WHITE XIRTEC PVC</t>
  </si>
  <si>
    <t>2"x1" PVC SCH40 RED. TEE SOCxSOCxSOC WHITE XIRTEC PVC</t>
  </si>
  <si>
    <t>2"x1 1/4" PVC SCH40 RED. TEE SOCxSOCxSOC WHITE XIRTEC PVC</t>
  </si>
  <si>
    <t>2"x1 1/2" PVC SCH40 RED. TEE SOCxSOCxSOC WHITE XIRTEC PVC</t>
  </si>
  <si>
    <t>2 1/2"x1/2" PVC SCH40 RED. TEE SOCxSOCxSOC WHITE XIRTEC PVC</t>
  </si>
  <si>
    <t>2 1/2"x3/4" PVC SCH40 RED. TEE SOCxSOCxSOC WHITE XIRTEC PVC</t>
  </si>
  <si>
    <t>2 1/2"x1" PVC SCH40 RED. TEE SOCxSOCxSOC WHITE XIRTEC PVC</t>
  </si>
  <si>
    <t>2 1/2"x1 1/4" PVC SCH40 RED. TEE SOCxSOCxSOC WHITE XIRTEC PVC</t>
  </si>
  <si>
    <t>2 1/2"x1 1/2" PVC SCH40 RED. TEE SOCxSOCxSOC WHITE XIRTEC PVC</t>
  </si>
  <si>
    <t>2 1/2"x2" PVC SCH40 RED. TEE SOCxSOCxSOC WHITE XIRTEC PVC</t>
  </si>
  <si>
    <t>3"x1/2" PVC SCH40 RED. TEE SOCxSOCxSOC WHITE XIRTEC PVC</t>
  </si>
  <si>
    <t>3"x3/4" PVC SCH40 RED. TEE SOCxSOCxSOC WHITE XIRTEC PVC</t>
  </si>
  <si>
    <t>3"x1" PVC SCH40 RED. TEE SOCxSOCxSOC WHITE XIRTEC PVC</t>
  </si>
  <si>
    <t>3"x1 1/4" PVC SCH40 RED. TEE SOCxSOCxSOC WHITE XIRTEC PVC</t>
  </si>
  <si>
    <t>3"x1 1/2" PVC SCH40 RED. TEE SOCxSOCxSOC WHITE XIRTEC PVC</t>
  </si>
  <si>
    <t>3"x2" PVC SCH40 RED. TEE SOCxSOCxSOC WHITE XIRTEC PVC</t>
  </si>
  <si>
    <t>3"x2 1/2" PVC SCH40 RED. TEE SOCxSOCxSOC WHITE XIRTEC PVC</t>
  </si>
  <si>
    <t>3"x4" PVC SCH40 RED. TEE SOCxSOCxSOC WHITE XIRTEC PVC</t>
  </si>
  <si>
    <t>4"x3/4" PVC SCH40 RED. TEE SOCxSOCxSOC WHITE XIRTEC PVC</t>
  </si>
  <si>
    <t>4"x1" PVC SCH40 RED. TEE SOCxSOCxSOC WHITE XIRTEC PVC</t>
  </si>
  <si>
    <t>4"x1 1/4" PVC SCH40 RED. TEE SOCxSOCxSOC WHITE XIRTEC PVC</t>
  </si>
  <si>
    <t>4"x1 1/2" PVC SCH40 RED. TEE SOCxSOCxSOC WHITE XIRTEC PVC</t>
  </si>
  <si>
    <t>4"x2" PVC SCH40 RED. TEE SOCxSOCxSOC WHITE XIRTEC PVC</t>
  </si>
  <si>
    <t>4"x3" PVC SCH40 RED. TEE SOCxSOCxSOC WHITE XIRTEC PVC</t>
  </si>
  <si>
    <t>5"x2" PVC SCH40 RED. TEE SOCxSOCxSOC WHITE XIRTEC PVC</t>
  </si>
  <si>
    <t>5"x3" PVC SCH40 RED. TEE SOCxSOCxSOC WHITE XIRTEC PVC</t>
  </si>
  <si>
    <t>5"x4" PVC SCH40 RED. TEE SOCxSOCxSOC WHITE XIRTEC PVC</t>
  </si>
  <si>
    <t>6"x2" PVC SCH40 RED. TEE SOCxSOCxSOC WHITE XIRTEC PVC</t>
  </si>
  <si>
    <t>6"x3" PVC SCH40 RED. TEE SOCxSOCxSOC WHITE XIRTEC PVC</t>
  </si>
  <si>
    <t>6"x4" PVC SCH40 RED. TEE SOCxSOCxSOC WHITE XIRTEC PVC</t>
  </si>
  <si>
    <t>8"x3" PVC SCH40 RED. TEE SOCxSOCxSOC WHITE XIRTEC PVC</t>
  </si>
  <si>
    <t>8"x4" PVC SCH40 RED. TEE SOCxSOCxSOC WHITE XIRTEC PVC</t>
  </si>
  <si>
    <t>8"x6" PVC SCH40 RED. TEE SOCxSOCxSOC WHITE XIRTEC PVC</t>
  </si>
  <si>
    <t>401624F</t>
  </si>
  <si>
    <t>10"x4" PVC SCH40 TEE HxHxH FAB XIRTEC PVC</t>
  </si>
  <si>
    <t>401626F</t>
  </si>
  <si>
    <t>10"x6" PVC SCH40 TEE HxHxH FAB XIRTEC PVC</t>
  </si>
  <si>
    <t>401628F</t>
  </si>
  <si>
    <t>10"x8" PVC SCH40 TEE HxHxH FAB XIRTEC PVC</t>
  </si>
  <si>
    <t>401664F</t>
  </si>
  <si>
    <t>12"x4" PVC SCH40 TEE HxHxH FAB XIRTEC PVC</t>
  </si>
  <si>
    <t>401666F</t>
  </si>
  <si>
    <t>12"x6" PVC SCH40 TEE HxHxH FAB XIRTEC PVC</t>
  </si>
  <si>
    <t>401668F</t>
  </si>
  <si>
    <t>12"x8" PVC SCH40 TEE HxHxH FAB XIRTEC PVC</t>
  </si>
  <si>
    <t>401670F</t>
  </si>
  <si>
    <t>12"x10" PVC SCH40 TEE HxHxH FAB XIRTEC PVC</t>
  </si>
  <si>
    <t>401691F</t>
  </si>
  <si>
    <t>14"x2" PVC SCH40 TEE HxHxH FAB XIRTEC PVC</t>
  </si>
  <si>
    <t>401693F</t>
  </si>
  <si>
    <t>14"x3" PVC SCH40 TEE HxHxH FAB XIRTEC PVC</t>
  </si>
  <si>
    <t>401694F</t>
  </si>
  <si>
    <t>14"x4" PVC SCH40 TEE HxHxH FAB XIRTEC PVC</t>
  </si>
  <si>
    <t>401696F</t>
  </si>
  <si>
    <t>14"x6" PVC SCH40 TEE HxHxH FAB XIRTEC PVC</t>
  </si>
  <si>
    <t>401698F</t>
  </si>
  <si>
    <t>14"x8" PVC SCH40 TEE HxHxH FAB XIRTEC PVC</t>
  </si>
  <si>
    <t>401700F</t>
  </si>
  <si>
    <t>14"x10" PVC SCH40 TEE HxHxH FAB XIRTEC PVC</t>
  </si>
  <si>
    <t>401702F</t>
  </si>
  <si>
    <t>14"x12" PVC SCH40 TEE HxHxH FAB XIRTEC PVC</t>
  </si>
  <si>
    <t>401754F</t>
  </si>
  <si>
    <t>16"x4" PVC SCH40 TEE HxHxH FAB XIRTEC PVC</t>
  </si>
  <si>
    <t>401756F</t>
  </si>
  <si>
    <t>16"x6" PVC SCH40 TEE HxHxH FAB XIRTEC PVC</t>
  </si>
  <si>
    <t>401758F</t>
  </si>
  <si>
    <t>16"x8" PVC SCH40 TEE HxHxH FAB XIRTEC PVC</t>
  </si>
  <si>
    <t>401760F</t>
  </si>
  <si>
    <t>16"x10" PVC SCH40 TEE HxHxH FAB XIRTEC PVC</t>
  </si>
  <si>
    <t>401762F</t>
  </si>
  <si>
    <t>16"x12" PVC SCH40 TEE HxHxH FAB XIRTEC PVC</t>
  </si>
  <si>
    <t>401764F</t>
  </si>
  <si>
    <t>16"x14" PVC SCH40 TEE HxHxH FAB XIRTEC PVC</t>
  </si>
  <si>
    <t>401784F</t>
  </si>
  <si>
    <t>18"x4" PVC SCH40 TEE HxHxH FAB XIRTEC PVC</t>
  </si>
  <si>
    <t>401786F</t>
  </si>
  <si>
    <t>18"x6" PVC SCH40 TEE HxHxH FAB XIRTEC PVC</t>
  </si>
  <si>
    <t>401788F</t>
  </si>
  <si>
    <t>18"x8" PVC SCH40 TEE HxHxH FAB XIRTEC PVC</t>
  </si>
  <si>
    <t>401790F</t>
  </si>
  <si>
    <t>18"x10" PVC SCH40 TEE HxHxH FAB XIRTEC PVC</t>
  </si>
  <si>
    <t>401792F</t>
  </si>
  <si>
    <t>18"x12" PVC SCH40 TEE HxHxH FAB XIRTEC PVC</t>
  </si>
  <si>
    <t>401794F</t>
  </si>
  <si>
    <t>18"x14" PVC SCH40 TEE HxHxH FAB XIRTEC PVC</t>
  </si>
  <si>
    <t>401796F</t>
  </si>
  <si>
    <t>18"x16" PVC SCH40 TEE HxHxH FAB XIRTEC PVC</t>
  </si>
  <si>
    <t>401814F</t>
  </si>
  <si>
    <t>20"x4" PVC SCH40 TEE HxHxH FAB XIRTEC PVC</t>
  </si>
  <si>
    <t>401816F</t>
  </si>
  <si>
    <t>20"x6" PVC SCH40 TEE HxHxH FAB XIRTEC PVC</t>
  </si>
  <si>
    <t>401818F</t>
  </si>
  <si>
    <t>20"x8" PVC SCH40 TEE HxHxH FAB XIRTEC PVC</t>
  </si>
  <si>
    <t>401820F</t>
  </si>
  <si>
    <t>20"x10" PVC SCH40 TEE HxHxH FAB XIRTEC PVC</t>
  </si>
  <si>
    <t>401822F</t>
  </si>
  <si>
    <t>20"x12" PVC SCH40 TEE HxHxH FAB XIRTEC PVC</t>
  </si>
  <si>
    <t>401824F</t>
  </si>
  <si>
    <t>20"x14" PVC SCH40 TEE HxHxH FAB XIRTEC PVC</t>
  </si>
  <si>
    <t>401826F</t>
  </si>
  <si>
    <t>20"x16" PVC SCH40 TEE HxHxH FAB XIRTEC PVC</t>
  </si>
  <si>
    <t>401828F</t>
  </si>
  <si>
    <t>20"x18" PVC SCH40 TEE HxHxH FAB XIRTEC PVC</t>
  </si>
  <si>
    <t>401904F</t>
  </si>
  <si>
    <t>24"x4" PVC SCH40 TEE HxHxH FAB XIRTEC PVC</t>
  </si>
  <si>
    <t>401906F</t>
  </si>
  <si>
    <t>24"x6" PVC SCH40 TEE HxHxH FAB XIRTEC PVC</t>
  </si>
  <si>
    <t>401908F</t>
  </si>
  <si>
    <t>24"x8" PVC SCH40 TEE HxHxH FAB XIRTEC PVC</t>
  </si>
  <si>
    <t>401910F</t>
  </si>
  <si>
    <t>24"x10" PVC SCH40 TEE HxHxH FAB XIRTEC PVC</t>
  </si>
  <si>
    <t>401912F</t>
  </si>
  <si>
    <t>24"x12" PVC SCH40 TEE HxHxH FAB XIRTEC PVC</t>
  </si>
  <si>
    <t>401914F</t>
  </si>
  <si>
    <t>24"x14" PVC SCH40 TEE HxHxH FAB XIRTEC PVC</t>
  </si>
  <si>
    <t>401916F</t>
  </si>
  <si>
    <t>24"x16" PVC SCH40 TEE HxHxH FAB XIRTEC PVC</t>
  </si>
  <si>
    <t>401918F</t>
  </si>
  <si>
    <t>24"x18" PVC SCH40 TEE HxHxH FAB XIRTEC PVC</t>
  </si>
  <si>
    <t>401920F</t>
  </si>
  <si>
    <t>24"x20" PVC SCH40 TEE HxHxH FAB XIRTEC PVC</t>
  </si>
  <si>
    <t>1/2" PVC SCH40 TEE SOCxSOCxFPT WHITE XIRTEC PVC</t>
  </si>
  <si>
    <t>3/4" PVC SCH40 TEE SOCxSOCxFPT WHITE XIRTEC PVC</t>
  </si>
  <si>
    <t>1" PVC SCH40 TEE SOCxSOCxFPT WHITE XIRTEC PVC</t>
  </si>
  <si>
    <t>1 1/4" PVC SCH40 TEE SOCxSOCxFPT WHITE XIRTEC PVC</t>
  </si>
  <si>
    <t>1 1/2" PVC SCH40 TEE SOCxSOCxFPT WHITE XIRTEC PVC</t>
  </si>
  <si>
    <t>2" PVC SCH40 TEE SOCxSOCxFPT WHITE XIRTEC PVC</t>
  </si>
  <si>
    <t>2 1/2" PVC SCH40 TEE SOCxSOCxFPT WHITE XIRTEC PVC</t>
  </si>
  <si>
    <t>3" PVC SCH40 TEE SOCxSOCxFPT WHITE XIRTEC PVC</t>
  </si>
  <si>
    <t>4" PVC SCH40 TEE SOCxSOCxFPT WHITE XIRTEC PVC</t>
  </si>
  <si>
    <t>1/2"x3/4" PVC SCH40 RED. TEE SOCxSOCxFPT WHITE XIRTEC PVC</t>
  </si>
  <si>
    <t>3/4"x1/2"x1/2" PVC SCH40 RED. TEE SOCxSOCxFPT WHITE XIRTEC PVC</t>
  </si>
  <si>
    <t>3/4"x1/2"x3/4" PVC SCH40 RED. TEE SOCxSOCxFPT WHITE XIRTEC PVC</t>
  </si>
  <si>
    <t>3/4"x1/2" PVC SCH40 RED. TEE SOCxSOCxFPT WHITE XIRTEC PVC</t>
  </si>
  <si>
    <t>1"x3/4"x1/2" PVC SCH40 RED. TEE SOCxSOCxFPT WHITE XIRTEC PVC</t>
  </si>
  <si>
    <t>1"x1/2" PVC SCH40 RED. TEE SOCxSOCxFPT WHITE XIRTEC PVC</t>
  </si>
  <si>
    <t>1"x3/4" PVC SCH40 RED. TEE SOCxSOCxFPT WHITE XIRTEC PVC</t>
  </si>
  <si>
    <t>1 1/4"x1"x1/2" PVC SCH40 RED. TEE SOCxSOCxFPT WHITE XIRTEC PVC</t>
  </si>
  <si>
    <t>1 1/4" X 1" X 1" S40 REDUCING TEE SXSXFPT XIRTEC PVC WHT</t>
  </si>
  <si>
    <t>1 1/4"x1/2" PVC SCH40 RED. TEE SOCxSOCxFPT WHITE XIRTEC PVC</t>
  </si>
  <si>
    <t>1 1/4"x3/4" PVC SCH40 RED. TEE SOCxSOCxFPT WHITE XIRTEC PVC</t>
  </si>
  <si>
    <t>1 1/4"x1" PVC SCH40 RED. TEE SOCxSOCxFPT WHITE XIRTEC PVC</t>
  </si>
  <si>
    <t>1 1/2" X 1 1/4" X 1/2" S40 REDUCING TEE SXSXFPT XIRTEC PVC WHT</t>
  </si>
  <si>
    <t>1 1/2"x1 1/4"x3/4" PVC SCH40 RED. TEE SOCxSOCxFPT XIRTEC PVC</t>
  </si>
  <si>
    <t>1 1/2" X 1 1/4" X 1" S40 REDUCING TEE SXSXFPT XIRTEC PVC WHT</t>
  </si>
  <si>
    <t>1 1/2"x1/2" PVC SCH40 RED. TEE SOCxSOCxFPT WHITE XIRTEC PVC</t>
  </si>
  <si>
    <t>1 1/2"x3/4" PVC SCH40 RED. TEE SOCxSOCxFPT WHITE XIRTEC PVC</t>
  </si>
  <si>
    <t>1 1/2"x1" PVC SCH40 RED. TEE SOCxSOCxFPT WHITE XIRTEC PVC</t>
  </si>
  <si>
    <t>1 1/2"x1 1/4" PVC SCH40 RED. TEE SOCxSOCxFPT WHITE XIRTEC PVC</t>
  </si>
  <si>
    <t>2"x1 1/2"x3/4" PVC SCH40 RED. TEE SOCxSOCxFPT WHITE XIRTEC PVC</t>
  </si>
  <si>
    <t>2"x1 1/2"x1" PVC SCH40 RED. TEE SOCxSOCxFPT WHITE XIRTEC PVC</t>
  </si>
  <si>
    <t>2"x1/2" PVC SCH40 RED. TEE SOCxSOCxFPT WHITE XIRTEC PVC</t>
  </si>
  <si>
    <t>2"x3/4" PVC SCH40 RED. TEE SOCxSOCxFPT WHITE XIRTEC PVC</t>
  </si>
  <si>
    <t>2"x1" PVC SCH40 RED. TEE SOCxSOCxFPT WHITE XIRTEC PVC</t>
  </si>
  <si>
    <t>2"x1 1/4" PVC SCH40 RED. TEE SOCxSOCxFPT WHITE XIRTEC PVC</t>
  </si>
  <si>
    <t>2"x1 1/2" PVC SCH40 RED. TEE SOCxSOCxFPT WHITE XIRTEC PVC</t>
  </si>
  <si>
    <t>2 1/2"x1/2" PVC SCH40 RED. TEE SOCxSOCxFPT WHITE XIRTEC PVC</t>
  </si>
  <si>
    <t>2 1/2"x3/4" PVC SCH40 RED. TEE SOCxSOCxFPT WHITE XIRTEC PVC</t>
  </si>
  <si>
    <t>2 1/2"x1" PVC SCH40 RED. TEE SOCxSOCxFPT WHITE XIRTEC PVC</t>
  </si>
  <si>
    <t>2 1/2"x1 1/4" PVC SCH40 RED. TEE SOCxSOCxFPT WHITE XIRTEC PVC</t>
  </si>
  <si>
    <t>2 1/2"x1 1/2" PVC SCH40 RED. TEE SOCxSOCxFPT WHITE XIRTEC PVC</t>
  </si>
  <si>
    <t>3"x1/2" PVC SCH40 RED. TEE SOCxSOCxFPT WHITE XIRTEC PVC</t>
  </si>
  <si>
    <t>3"x3/4" PVC SCH40 RED. TEE SOCxSOCxFPT WHITE XIRTEC PVC</t>
  </si>
  <si>
    <t>3"x1" PVC SCH40 RED. TEE SOCxSOCxFPT WHITE XIRTEC PVC</t>
  </si>
  <si>
    <t>3"x1 1/4" PVC SCH40 RED. TEE SOCxSOCxFPT WHITE XIRTEC PVC</t>
  </si>
  <si>
    <t>3"x1 1/2" PVC SCH40 RED. TEE SOCxSOCxFPT WHITE XIRTEC PVC</t>
  </si>
  <si>
    <t>3"x2" PVC SCH40 RED. TEE SOCxSOCxFPT WHITE XIRTEC PVC</t>
  </si>
  <si>
    <t>4"x1" PVC SCH40 RED. TEE SOCxSOCxFPT WHITE XIRTEC PVC</t>
  </si>
  <si>
    <t>4"x1 1/2" PVC SCH40 RED. TEE SOCxSOCxFPT WHITE XIRTEC PVC</t>
  </si>
  <si>
    <t>4"x2" PVC SCH40 RED. TEE SOCxSOCxFPT WHITE XIRTEC PVC</t>
  </si>
  <si>
    <t>4"x3" PVC SCH40 RED. TEE SOCxSOCxFPT WHITE XIRTEC PVC</t>
  </si>
  <si>
    <t>5"x4" PVC SCH40 RED. TEE SOCxSOCxFPT WHITE XIRTEC PVC</t>
  </si>
  <si>
    <t>6"x2" PVC SCH40 RED. TEE SOCxSOCxFPT WHITE XIRTEC PVC</t>
  </si>
  <si>
    <t>6"x3" PVC SCH40 RED. TEE SOCxSOCxFPT WHITE XIRTEC PVC</t>
  </si>
  <si>
    <t>6"x4" PVC SCH40 RED. TEE SOCxSOCxFPT WHITE XIRTEC PVC</t>
  </si>
  <si>
    <t>8"x3" PVC SCH40 RED. TEE SOCxSOCxFPT WHITE XIRTEC PVC</t>
  </si>
  <si>
    <t>8"x4" PVC SCH40 RED. TEE SOCxSOCxFPT WHITE XIRTEC PVC</t>
  </si>
  <si>
    <t>1/2" PVC SCH40 TEE FPTxFPTxFPT WHITE XIRTEC PVC</t>
  </si>
  <si>
    <t>3/4" PVC SCH40 TEE FPTxFPTxFPT WHITE XIRTEC PVC</t>
  </si>
  <si>
    <t>1" PVC SCH40 TEE FPTxFPTxFPT WHITE XIRTEC PVC</t>
  </si>
  <si>
    <t>1 1/4" PVC SCH40 TEE FPTxFPTxFPT WHITE XIRTEC PVC</t>
  </si>
  <si>
    <t>1 1/2" PVC SCH40 TEE FPTxFPTxFPT WHITE XIRTEC PVC</t>
  </si>
  <si>
    <t>2" PVC SCH40 TEE FPTxFPTxFPT WHITE XIRTEC PVC</t>
  </si>
  <si>
    <t>1/2"x90D PVC SCH40 ELBOW SOCxSOC WHITE XIRTEC PVC</t>
  </si>
  <si>
    <t>3/4"x90D PVC SCH40 ELBOW SOCxSOC WHITE XIRTEC PVC</t>
  </si>
  <si>
    <t>1"x90D PVC SCH40 ELBOW SOCxSOC WHITE XIRTEC PVC</t>
  </si>
  <si>
    <t>1 1/4"x90D PVC SCH40 ELBOW SOCxSOC WHITE XIRTEC PVC</t>
  </si>
  <si>
    <t>1 1/2"x90D PVC SCH40 ELBOW SOCxSOC WHITE XIRTEC PVC</t>
  </si>
  <si>
    <t>2"x90D PVC SCH40 ELBOW SOCxSOC WHITE XIRTEC PVC</t>
  </si>
  <si>
    <t>2 1/2"x90D PVC SCH40 ELBOW SOCxSOC WHITE XIRTEC PVC</t>
  </si>
  <si>
    <t>3"x90D PVC SCH40 ELBOW SOCxSOC WHITE XIRTEC PVC</t>
  </si>
  <si>
    <t>4"x90D PVC SCH40 ELBOW SOCxSOC WHITE XIRTEC PVC</t>
  </si>
  <si>
    <t>5"x90D PVC SCH40 ELBOW SOCxSOC WHITE XIRTEC PVC</t>
  </si>
  <si>
    <t>6"x90D PVC SCH40 ELBOW SOCxSOC WHITE XIRTEC PVC</t>
  </si>
  <si>
    <t>8"x90D PVC SCH40 ELBOW SOCxSOC WHITE XIRTEC PVC</t>
  </si>
  <si>
    <t>10"x90D PVC SCH40 ELBOW SOCxSOC WHITE XIRTEC PVC</t>
  </si>
  <si>
    <t>12"x90D PVC SCH40 ELBOW SOCxSOC WHITE XIRTEC PVC</t>
  </si>
  <si>
    <t>406100F</t>
  </si>
  <si>
    <t>10"x90D PVC SCH40 ELBOW HxH FAB XIRTEC PVC</t>
  </si>
  <si>
    <t>406120F</t>
  </si>
  <si>
    <t>12"x90D PVC SCH40 ELBOW HxH FAB XIRTEC PVC</t>
  </si>
  <si>
    <t>406140F</t>
  </si>
  <si>
    <t>14"x90D PVC SCH40 ELBOW HxH FAB XIRTEC PVC</t>
  </si>
  <si>
    <t>406160F</t>
  </si>
  <si>
    <t>16"x90D PVC SCH40 ELBOW HxH FAB XIRTEC PVC</t>
  </si>
  <si>
    <t>406180F</t>
  </si>
  <si>
    <t>18"x90D PVC SCH40 ELBOW HxH FAB XIRTEC PVC</t>
  </si>
  <si>
    <t>406200F</t>
  </si>
  <si>
    <t>20"x90D PVC SCH40 ELBOW HxH FAB XIRTEC PVC</t>
  </si>
  <si>
    <t>406240F</t>
  </si>
  <si>
    <t>24"x90D PVC SCH40 ELBOW HxH FAB XIRTEC PVC</t>
  </si>
  <si>
    <t>10"x90D PVC SCH40 STREET ELBOW SPxSOC WHITE XIRTECPVC</t>
  </si>
  <si>
    <t>12"x90D PVC SCH40 STREET ELBOW SPxSOC WHITE XIRTECPVC</t>
  </si>
  <si>
    <t>1/2"x90D PVC SCH40 ELBOW SOCxFPT WHITE XIRTEC PVC</t>
  </si>
  <si>
    <t>3/4"x90D PVC SCH40 ELBOW SOCxFPT WHITE XIRTEC PVC</t>
  </si>
  <si>
    <t>1"x90D PVC SCH40 ELBOW SOCxFPT WHITE XIRTEC PVC</t>
  </si>
  <si>
    <t>1 1/4"x90D PVC SCH40 ELBOW SOCxFPT WHITE XIRTEC PVC</t>
  </si>
  <si>
    <t>1 1/2"x90D PVC SCH40 ELBOW SOCxFPT WHITE XIRTEC PVC</t>
  </si>
  <si>
    <t>2"x90D PVC SCH40 ELBOW SOCxFPT WHITE XIRTEC PVC</t>
  </si>
  <si>
    <t>2 1/2"x90D PVC SCH40 ELBOW SOCxFPT WHITE XIRTEC PVC</t>
  </si>
  <si>
    <t>3"x90D PVC SCH40 ELBOW SOCxFPT WHITE XIRTEC PVC</t>
  </si>
  <si>
    <t>4"x90D PVC SCH40 ELBOW SOCxFPT WHITE XIRTEC PVC</t>
  </si>
  <si>
    <t>1/2"x90D PVC SCH40 ELBOW FPTxFPT WHITE XIRTEC PVC</t>
  </si>
  <si>
    <t>3/4"x90D PVC SCH40 ELBOW FPTxFPT WHITE XIRTEC PVC</t>
  </si>
  <si>
    <t>1"x90D PVC SCH40 ELBOW FPTxFPT WHITE XIRTEC PVC</t>
  </si>
  <si>
    <t>1 1/4"x90D PVC SCH40 ELBOW FPTxFPT WHITE XIRTEC PVC</t>
  </si>
  <si>
    <t>1 1/2"x90D PVC SCH40 ELBOW FPTxFPT WHITE XIRTEC PVC</t>
  </si>
  <si>
    <t>2"x90D PVC SCH40 ELBOW FPTxFPT WHITE XIRTEC PVC</t>
  </si>
  <si>
    <t>3/4"x1/2"x90D PVC SCH40 RED. ELBOW SOCxSOC WHITE XIRTEC PVC</t>
  </si>
  <si>
    <t>1"x1/2"x90D PVC SCH40 RED. ELBOW SOCxSOC WHITE XIRTEC PVC</t>
  </si>
  <si>
    <t>1"x3/4"x90D PVC SCH40 RED. ELBOW SOCxSOC WHITE XIRTEC PVC</t>
  </si>
  <si>
    <t>1 1/4"x1/2"x90D PVC SCH40RED. ELBOW SOCxSOC WHITE XIRTEC PVC</t>
  </si>
  <si>
    <t>1 1/4"x3/4"x90D PVC SCH40RED. ELBOW SOCxSOC WHITE XIRTEC PVC</t>
  </si>
  <si>
    <t>1 1/4"x1"x90D PVC SCH40 RED. ELBOW SOCxSOC WHITE XIRTEC PVC</t>
  </si>
  <si>
    <t>1 1/2"x1/2"x90D PVC SCH40RED. ELBOW SOCxSOC WHITE XIRTEC PVC</t>
  </si>
  <si>
    <t>1 1/2"x1"x90D PVC SCH40 RED. ELBOW SOCxSOC WHITE XIRTEC PVC</t>
  </si>
  <si>
    <t>2"x1 1/2"x90D PVC SCH40 RED. ELBOW SOCxSOC WHITE XIRTEC PVC</t>
  </si>
  <si>
    <t>1/2"x3/4"x90D PVC SCH40 RED. ELBOW SOCxFPT WHITE XIRTEC PVC</t>
  </si>
  <si>
    <t>3/4"x1/2"x90D PVC SCH40 RED. ELBOW SOCxFPT WHITE XIRTEC PVC</t>
  </si>
  <si>
    <t>1"x1/2"x90D PVC SCH40 RED. ELBOW SOCxFPT WHITE XIRTEC PVC</t>
  </si>
  <si>
    <t>1"x3/4"x90D PVC SCH40 RED. ELBOW SOCxFPT WHITE XIRTEC PVC</t>
  </si>
  <si>
    <t>1 1/4"x1"x90D PVC SCH40 RED. ELBOW SOCxFPT WHITE XIRTEC140</t>
  </si>
  <si>
    <t>1 1/2"x1"x90D PVC SCH40 RED. ELBOW SOCxFPT WHITE XIRTEC PVC</t>
  </si>
  <si>
    <t>2"x1 1/2"x90D PVC SCH40 RED. ELBOW SOCxFPT WHITE XIRTEC PVC</t>
  </si>
  <si>
    <t>1/2"x90D PVC SCH40 STREETELBOW MPTxSOC WHITE XIRTEC PVC</t>
  </si>
  <si>
    <t>3/4"x90D PVC SCH40 STREETELBOW MPTxSOC WHITE XIRTEC PVC</t>
  </si>
  <si>
    <t>1"x90D PVC SCH40 STREET ELBOW MPTxSOC WHITE XIRTEC PVC</t>
  </si>
  <si>
    <t>1 1/4"x90D PVC SCH40 STREET ELBOW MPTxSOC WHITE XIRTEC PVC</t>
  </si>
  <si>
    <t>1 1/2"x90D PVC SCH40 STREET ELBOW MPTxSOC WHITE XIRTEC PVC</t>
  </si>
  <si>
    <t>2"x90D PVC SCH40 STREET ELBOW MPTxSOC WHITE XIRTEC PVC</t>
  </si>
  <si>
    <t>1/2"x90D PVC SCH40 STREETELBOW SPxSOC WHITE XIRTECPVC</t>
  </si>
  <si>
    <t>3/4"x90D PVC SCH40 STREETELBOW SPxSOC WHITE XIRTECPVC</t>
  </si>
  <si>
    <t>1"x90D PVC SCH40 STREET ELBOW SPxSOC WHITE XIRTECPVC</t>
  </si>
  <si>
    <t>1 1/4"x90D PVC SCH40 STREET ELBOW SPxSOC WHITEXIRTEC PVC</t>
  </si>
  <si>
    <t>1 1/2"x90D PVC SCH40 STREET ELBOW SPxSOC WHITEXIRTEC PVC</t>
  </si>
  <si>
    <t>2"x90D PVC SCH40 STREET ELBOW SPxSOC WHITE XIRTECPVC</t>
  </si>
  <si>
    <t>1/2"x90D PVC SCH40 STREETELBOW MPTxFPT WHITE XIRTEC PVC</t>
  </si>
  <si>
    <t>3/4"x90D PVC SCH40 STREETELBOW MPTxFPT WHITE XIRTEC PVC</t>
  </si>
  <si>
    <t>1"x90D PVC SCH40 STREET ELBOW MPTxFPT WHITE XIRTEC PVC</t>
  </si>
  <si>
    <t>1 1/4"x90D PVC SCH40 STREET ELBOW MPTxFPT WHITE XIRTEC PVC</t>
  </si>
  <si>
    <t>1 1/2"x90D PVC SCH40 STREET ELBOW MPTxFPT WHITE XIRTEC PVC</t>
  </si>
  <si>
    <t>2"x90D PVC SCH40 STREET ELBOW MPTxFPT WHITE XIRTEC PVC</t>
  </si>
  <si>
    <t>1/2" PVC SCH40 SIDE OTLT ELBOW SOCxSOCxSOC WHITE XIRTEC PVC</t>
  </si>
  <si>
    <t>1/2" PVC SCH40 SIDE OTLT ELBOW SOCxSOCxFPT WHITE XIRTEC PVC</t>
  </si>
  <si>
    <t>3/4" PVC SCH40 SIDE OTLT ELBOW SOCxSOCxFPT WHITE XIRTEC PVC</t>
  </si>
  <si>
    <t>3/4"x1/2" PVC SCH40 SIDE OTLT ELBOW SOCxSOCxFPT WHITE XIRTEC PVC</t>
  </si>
  <si>
    <t>1"x1/2" PVC SCH40 SIDE OTLT ELBOW SOCxSOCxFPT WHITE XIRTEC PVC</t>
  </si>
  <si>
    <t>424060F</t>
  </si>
  <si>
    <t>6"x60D PVC SCH40 ELBOW HxH FAB XIRTEC PVC</t>
  </si>
  <si>
    <t>424080F</t>
  </si>
  <si>
    <t>8"x60D PVC SCH40 ELBOW HxH FAB XIRTEC PVC</t>
  </si>
  <si>
    <t>424100F</t>
  </si>
  <si>
    <t>10"x60D PVC SCH40 ELBOW HxH FAB XIRTEC PVC</t>
  </si>
  <si>
    <t>424120F</t>
  </si>
  <si>
    <t>12"x60D PVC SCH40 ELBOW HxH FAB XIRTEC PVC</t>
  </si>
  <si>
    <t>424140F</t>
  </si>
  <si>
    <t>14"x60D PVC SCH40 ELBOW HxH FAB XIRTEC PVC</t>
  </si>
  <si>
    <t>424160F</t>
  </si>
  <si>
    <t>16"x60D PVC SCH40 ELBOW HxH FAB XIRTEC PVC</t>
  </si>
  <si>
    <t>424180F</t>
  </si>
  <si>
    <t>18"x60D PVC SCH40 ELBOW HxH FAB XIRTEC PVC</t>
  </si>
  <si>
    <t>424200F</t>
  </si>
  <si>
    <t>20"x60D PVC SCH40 ELBOW HxH FAB XIRTEC PVC</t>
  </si>
  <si>
    <t>424240F</t>
  </si>
  <si>
    <t>24"x60D PVC SCH40 ELBOW HxH FAB XIRTEC PVC</t>
  </si>
  <si>
    <t>1/2"x45D PVC SCH40 ELBOW SOCxSOC WHITE XIRTEC PVC</t>
  </si>
  <si>
    <t>3/4"x45D PVC SCH40 ELBOW SOCxSOC WHITE XIRTEC PVC</t>
  </si>
  <si>
    <t>1"x45D PVC SCH40 ELBOW SOCxSOC WHITE XIRTEC PVC</t>
  </si>
  <si>
    <t>1 1/4"x45D PVC SCH40 ELBOW SOCxSOC WHITE XIRTEC PVC</t>
  </si>
  <si>
    <t>1 1/2"x45D PVC SCH40 ELBOW SOCxSOC WHITE XIRTEC PVC</t>
  </si>
  <si>
    <t>2"x45D PVC SCH40 ELBOW SOCxSOC WHITE XIRTEC PVC</t>
  </si>
  <si>
    <t>2 1/2"x45D PVC SCH40 ELBOW SOCxSOC WHITE XIRTEC PVC</t>
  </si>
  <si>
    <t>3"x45D PVC SCH40 ELBOW SOCxSOC WHITE XIRTEC PVC</t>
  </si>
  <si>
    <t>4"x45D PVC SCH40 ELBOW SOCxSOC WHITE XIRTEC PVC</t>
  </si>
  <si>
    <t>5"x45D PVC SCH40 ELBOW SOCxSOC WHITE XIRTEC PVC</t>
  </si>
  <si>
    <t>6"x45D PVC SCH40 ELBOW SOCxSOC WHITE XIRTEC PVC</t>
  </si>
  <si>
    <t>8"x45D PVC SCH40 ELBOW SOCxSOC WHITE XIRTEC PVC</t>
  </si>
  <si>
    <t>10"x45D PVC SCH40 ELBOW SOCxSOC WHITE XIRTEC PVC</t>
  </si>
  <si>
    <t>12"x45D PVC SCH40 ELBOW SOCxSOC WHITE XIRTEC PVC</t>
  </si>
  <si>
    <t>10"x45D PVC SCH40 STREET ELBOW SPxSOC WHITE XIRTECPVC</t>
  </si>
  <si>
    <t>12"x45D PVC SCH40 STREET ELBOW SPxSOC WHITE XIRTECPVC</t>
  </si>
  <si>
    <t>417100F</t>
  </si>
  <si>
    <t>10"x45D PVC SCH40 ELBOW HxH FAB XIRTEC PVC</t>
  </si>
  <si>
    <t>417120F</t>
  </si>
  <si>
    <t>12"x45D PVC SCH40 ELBOW HxH FAB XIRTEC PVC</t>
  </si>
  <si>
    <t>417140F</t>
  </si>
  <si>
    <t>14"x45D PVC SCH40 ELBOW HxH FAB XIRTEC PVC</t>
  </si>
  <si>
    <t>417160F</t>
  </si>
  <si>
    <t>16"x45D PVC SCH40 ELBOW HxH FAB XIRTEC PVC</t>
  </si>
  <si>
    <t>417180F</t>
  </si>
  <si>
    <t>18"x45D PVC SCH40 ELBOW HxH FAB XIRTEC PVC</t>
  </si>
  <si>
    <t>417200F</t>
  </si>
  <si>
    <t>20"x45D PVC SCH40 ELBOW HxH FAB XIRTEC PVC</t>
  </si>
  <si>
    <t>417240F</t>
  </si>
  <si>
    <t>24"x45D PVC SCH40 ELBOW HxH FAB XIRTEC PVC</t>
  </si>
  <si>
    <t>415020F</t>
  </si>
  <si>
    <t>2"x30D PVC SCH40 ELBOW HxH FAB XIRTEC PVC</t>
  </si>
  <si>
    <t>415030F</t>
  </si>
  <si>
    <t>3"x30D PVC SCH40 ELBOW HxH FAB XIRTEC PVC</t>
  </si>
  <si>
    <t>415040F</t>
  </si>
  <si>
    <t>4"x30D PVC SCH40 ELBOW HxH FAB XIRTEC PVC</t>
  </si>
  <si>
    <t>415060F</t>
  </si>
  <si>
    <t>6"x30D PVC SCH40 ELBOW HxH FAB XIRTEC PVC</t>
  </si>
  <si>
    <t>415080F</t>
  </si>
  <si>
    <t>8"x30D PVC SCH40 ELBOW HxH FAB XIRTEC PVC</t>
  </si>
  <si>
    <t>415100F</t>
  </si>
  <si>
    <t>10"x30D PVC SCH40 ELBOW HxH FAB XIRTEC PVC</t>
  </si>
  <si>
    <t>415120F</t>
  </si>
  <si>
    <t>12"x30D PVC SCH40 ELBOW HxH FAB XIRTEC PVC</t>
  </si>
  <si>
    <t>415140F</t>
  </si>
  <si>
    <t>14"x30D PVC SCH40 ELBOW HxH FAB XIRTEC PVC</t>
  </si>
  <si>
    <t>415160F</t>
  </si>
  <si>
    <t>16"x30D PVC SCH40 ELBOW HxH FAB XIRTEC PVC</t>
  </si>
  <si>
    <t>415180F</t>
  </si>
  <si>
    <t>18"x30D PVC SCH40 ELBOW HxH FAB XIRTEC PVC</t>
  </si>
  <si>
    <t>415200F</t>
  </si>
  <si>
    <t>20"x30D PVC SCH40 ELBOW HxH FAB XIRTEC PVC</t>
  </si>
  <si>
    <t>415240F</t>
  </si>
  <si>
    <t>24"x30D PVC SCH40 ELBOW HxH FAB XIRTEC PVC</t>
  </si>
  <si>
    <t>416020F</t>
  </si>
  <si>
    <t>2"x22 1/2D PVC SCH40 ELBOW HxH FAB XIRTEC PVC</t>
  </si>
  <si>
    <t>416030F</t>
  </si>
  <si>
    <t>3"x22 1/2D PVC SCH40 ELBOW HxH FAB XIRTEC PVC</t>
  </si>
  <si>
    <t>416040F</t>
  </si>
  <si>
    <t>4"x22 1/2D PVC SCH40 ELBOW HxH FAB XIRTEC PVC</t>
  </si>
  <si>
    <t>416050F</t>
  </si>
  <si>
    <t>5"x22 1/2D PVC SCH40 ELBOW HxH FAB XIRTEC PVC</t>
  </si>
  <si>
    <t>416060F</t>
  </si>
  <si>
    <t>6"x22 1/2D PVC SCH40 ELBOW HxH FAB XIRTEC PVC</t>
  </si>
  <si>
    <t>416080F</t>
  </si>
  <si>
    <t>8"x22 1/2D PVC SCH40 ELBOW HxH FAB XIRTEC PVC</t>
  </si>
  <si>
    <t>416100F</t>
  </si>
  <si>
    <t>10"x22 1/2D PVC SCH40 ELBOW HxH FAB XIRTEC PVC</t>
  </si>
  <si>
    <t>416120F</t>
  </si>
  <si>
    <t>12"x22 1/2D PVC SCH40 ELBOW HxH FAB XIRTEC PVC</t>
  </si>
  <si>
    <t>416140F</t>
  </si>
  <si>
    <t>14"x22 1/2D PVC SCH40 ELBOW HxH FAB XIRTEC PVC</t>
  </si>
  <si>
    <t>416160F</t>
  </si>
  <si>
    <t>16"x22 1/2D PVC SCH40 ELBOW HxH FAB XIRTEC PVC</t>
  </si>
  <si>
    <t>416180F</t>
  </si>
  <si>
    <t>18"x22 1/2D PVC SCH40 ELBOW HxH FAB XIRTEC PVC</t>
  </si>
  <si>
    <t>416200F</t>
  </si>
  <si>
    <t>20"x22 1/2D PVC SCH40 ELBOW HxH FAB XIRTEC PVC</t>
  </si>
  <si>
    <t>416240F</t>
  </si>
  <si>
    <t>24"x22 1/2D PVC SCH40 ELBOW HxH FAB XIRTEC PVC</t>
  </si>
  <si>
    <t>418020F</t>
  </si>
  <si>
    <t>2"x15D PVC SCH40 ELBOW HxH FAB XIRTEC PVC</t>
  </si>
  <si>
    <t>418030F</t>
  </si>
  <si>
    <t>3"x15D PVC SCH40 ELBOW HxH FAB XIRTEC PVC</t>
  </si>
  <si>
    <t>418040F</t>
  </si>
  <si>
    <t>4"x15D PVC SCH40 ELBOW HxH FAB XIRTEC PVC</t>
  </si>
  <si>
    <t>418060F</t>
  </si>
  <si>
    <t>6"x15D PVC SCH40 ELBOW HxH FAB XIRTEC PVC</t>
  </si>
  <si>
    <t>418080F</t>
  </si>
  <si>
    <t>8"x15D PVC SCH40 ELBOW HxH FAB XIRTEC PVC</t>
  </si>
  <si>
    <t>418100F</t>
  </si>
  <si>
    <t>10"x15D PVC SCH40 ELBOW HxH FAB XIRTEC PVC</t>
  </si>
  <si>
    <t>418120F</t>
  </si>
  <si>
    <t>12"x15D PVC SCH40 ELBOW HxH FAB XIRTEC PVC</t>
  </si>
  <si>
    <t>418140F</t>
  </si>
  <si>
    <t>14"x15D PVC SCH40 ELBOW HxH FAB XIRTEC PVC</t>
  </si>
  <si>
    <t>418160F</t>
  </si>
  <si>
    <t>16"x15D PVC SCH40 ELBOW HxH FAB XIRTEC PVC</t>
  </si>
  <si>
    <t>418180F</t>
  </si>
  <si>
    <t>18"x15D PVC SCH40 ELBOW HxH FAB XIRTEC PVC</t>
  </si>
  <si>
    <t>418200F</t>
  </si>
  <si>
    <t>20"x15D PVC SCH40 ELBOW HxH FAB XIRTEC PVC</t>
  </si>
  <si>
    <t>418240F</t>
  </si>
  <si>
    <t>24"x15D PVC SCH40 ELBOW HxH FAB XIRTEC PVC</t>
  </si>
  <si>
    <t>411060F</t>
  </si>
  <si>
    <t>6"x11 1/4D PVC SCH40 ELBOW HxH FAB XIRTEC PVC</t>
  </si>
  <si>
    <t>411080F</t>
  </si>
  <si>
    <t>8"x11 1/4D PVC SCH40 ELBOW HxH FAB XIRTEC PVC</t>
  </si>
  <si>
    <t>411100F</t>
  </si>
  <si>
    <t>10"x11 1/4D PVC SCH40 ELBOW HxH FAB XIRTEC PVC</t>
  </si>
  <si>
    <t>411120F</t>
  </si>
  <si>
    <t>12"x11 1/4D PVC SCH40 ELBOW HxH FAB XIRTEC PVC</t>
  </si>
  <si>
    <t>411140F</t>
  </si>
  <si>
    <t>14"x11 1/4D PVC SCH40 ELBOW HxH FAB XIRTEC PVC</t>
  </si>
  <si>
    <t>411160F</t>
  </si>
  <si>
    <t>16"x11 1/4D PVC SCH40 ELBOW HxH FAB XIRTEC PVC</t>
  </si>
  <si>
    <t>411180F</t>
  </si>
  <si>
    <t>18"x11 1/4D PVC SCH40 ELBOW HxH FAB XIRTEC PVC</t>
  </si>
  <si>
    <t>411200F</t>
  </si>
  <si>
    <t>20"x11 1/4D PVC SCH40 ELBOW HxH FAB XIRTEC PVC</t>
  </si>
  <si>
    <t>411240F</t>
  </si>
  <si>
    <t>24"x11 1/4D PVC SCH40 ELBOW HxH FAB XIRTEC PVC</t>
  </si>
  <si>
    <t>1/2" PVC SCH40 HOSE ADPT INSERTxIPS SOC WHITE XIRTEC PVC</t>
  </si>
  <si>
    <t>3/4" PVC SCH40 HOSE ADPT INSERTxIPS SOC WHITE XIRTEC PVC</t>
  </si>
  <si>
    <t>1" PVC SCH40 HOSE ADPT INSERTxIPS SOC WHITE XIRTEC PVC</t>
  </si>
  <si>
    <t>1 1/4" PVC SCH40 HOSE ADPT INSERTxIPS SOC WHITEXIRTEC PVC</t>
  </si>
  <si>
    <t>1 1/2" PVC SCH40 HOSE ADPT INSERTxIPS SOC WHITEXIRTEC PVC</t>
  </si>
  <si>
    <t>2" PVC SCH40 HOSE ADPT INSERTxIPS SOC WHITE XIRTEC PVC</t>
  </si>
  <si>
    <t>3" PVC SCH40 HOSE ADPT INSERTxIPS SOC WHITE XIRTEC PVC</t>
  </si>
  <si>
    <t>4" PVC SCH40 HOSE ADPT INSERTxIPS SOC WHITE XIRTEC PVC</t>
  </si>
  <si>
    <t>1/2" PVC SCH40 HOSE ADPT INSERTxMPT GREY XIRTEC PVC</t>
  </si>
  <si>
    <t>035DF</t>
  </si>
  <si>
    <t>3/4" PVC SCH40 HOSE ADPT INSERTxMPT GREY XIRTEC PVC</t>
  </si>
  <si>
    <t>1" PVC SCH40 HOSE ADPT INSERTxMPT GREY XIRTEC PVC</t>
  </si>
  <si>
    <t>1 1/4" PVC SCH40 HOSE ADPT INSERTxMPT GREY XIRTEC PVC</t>
  </si>
  <si>
    <t>1 1/2" PVC SCH40 HOSE ADPT INSERTxMPT GREY XIRTEC PVC</t>
  </si>
  <si>
    <t>2" PVC SCH40 HOSE ADPT INSERTxMPT GREY XIRTEC PVC</t>
  </si>
  <si>
    <t>2 1/2" PVC SCH40 HOSE ADPT INSERTxMPT GREY XIRTEC PVC</t>
  </si>
  <si>
    <t>3" PVC SCH40 HOSE ADPT INSERTxMPT GREY XIRTEC PVC</t>
  </si>
  <si>
    <t>4" PVC SCH40 HOSE ADPT INSERTxMPT GREY XIRTEC PVC</t>
  </si>
  <si>
    <t>1/2" PVC SCH40 CROSS SOCxSOCxSOCxSOC WHITE XIRTEC PVC</t>
  </si>
  <si>
    <t>3/4" PVC SCH40 CROSS SOCxSOCxSOCxSOC WHITE XIRTEC PVC</t>
  </si>
  <si>
    <t>1" PVC SCH40 CROSS SOCxSOCxSOCxSOC WHITE XIRTEC PVC</t>
  </si>
  <si>
    <t>1 1/4" PVC SCH40 CROSS SOCxSOCxSOCxSOC WHITE XIRTEC PVC</t>
  </si>
  <si>
    <t>1 1/2" PVC SCH40 CROSS SOCxSOCxSOCxSOC WHITE XIRTEC PVC</t>
  </si>
  <si>
    <t>2" PVC SCH40 CROSS SOCxSOCxSOCxSOC WHITE XIRTEC PVC</t>
  </si>
  <si>
    <t>2 1/2" PVC SCH40 CROSS SOCxSOCxSOCxSOC WHITE XIRTEC PVC</t>
  </si>
  <si>
    <t>3" PVC SCH40 CROSS SOCxSOCxSOCxSOC WHITE XIRTEC PVC</t>
  </si>
  <si>
    <t>4" PVC SCH40 CROSS SOCxSOCxSOCxSOC WHITE XIRTEC PVC</t>
  </si>
  <si>
    <t>420060F</t>
  </si>
  <si>
    <t>6" PVC SCH40 CROSS HxHxHxH FAB XIRTEC PVC</t>
  </si>
  <si>
    <t>420080F</t>
  </si>
  <si>
    <t>8" PVC SCH40 CROSS HxHxHxH FAB XIRTEC PVC</t>
  </si>
  <si>
    <t>420100F</t>
  </si>
  <si>
    <t>10" PVC SCH40 CROSS HxHxHxH FAB XIRTEC PVC</t>
  </si>
  <si>
    <t>420120F</t>
  </si>
  <si>
    <t>12" PVC SCH40 CROSS HxHxHxH FAB XIRTEC PVC</t>
  </si>
  <si>
    <t>420140F</t>
  </si>
  <si>
    <t>14" PVC SCH40 CROSS HxHxHxH FAB XIRTEC PVC</t>
  </si>
  <si>
    <t>420160F</t>
  </si>
  <si>
    <t>16" PVC SCH40 CROSS HxHxHxH FAB XIRTEC PVC</t>
  </si>
  <si>
    <t>420180F</t>
  </si>
  <si>
    <t>18" PVC SCH40 CROSS HxHxHxH FAB XIRTEC PVC</t>
  </si>
  <si>
    <t>420200F</t>
  </si>
  <si>
    <t>20" PVC SCH40 CROSS HxHxHxH FAB XIRTEC PVC</t>
  </si>
  <si>
    <t>420240F</t>
  </si>
  <si>
    <t>24" PVC SCH40 CROSS HxHxHxH FAB XIRTEC PVC</t>
  </si>
  <si>
    <t>420532F</t>
  </si>
  <si>
    <t>6"x4" PVC SCH40 CROSS HxHxHxH FAB XIRTEC PVC</t>
  </si>
  <si>
    <t>420582F</t>
  </si>
  <si>
    <t>8"x4" PVC SCH40 CROSS HxHxHxH FAB XIRTEC PVC</t>
  </si>
  <si>
    <t>420585F</t>
  </si>
  <si>
    <t>8"x6" PVC SCH40 CROSS HxHxHxH FAB XIRTEC PVC</t>
  </si>
  <si>
    <t>420624F</t>
  </si>
  <si>
    <t>10"x4" PVC SCH40 CROSS HxHxHxH FAB XIRTEC PVC</t>
  </si>
  <si>
    <t>420626F</t>
  </si>
  <si>
    <t>10"x6" PVC SCH40 CROSS HxHxHxH FAB XIRTEC PVC</t>
  </si>
  <si>
    <t>420628F</t>
  </si>
  <si>
    <t>10"x8" PVC SCH40 CROSS HxHxHxH FAB XIRTEC PVC</t>
  </si>
  <si>
    <t>420664F</t>
  </si>
  <si>
    <t>12"x4" PVC SCH40 CROSS HxHxHxH FAB XIRTEC PVC</t>
  </si>
  <si>
    <t>420666F</t>
  </si>
  <si>
    <t>12"x6" PVC SCH40 CROSS HxHxHxH FAB XIRTEC PVC</t>
  </si>
  <si>
    <t>420668F</t>
  </si>
  <si>
    <t>12"x8" PVC SCH40 CROSS HxHxHxH FAB XIRTEC PVC</t>
  </si>
  <si>
    <t>420670F</t>
  </si>
  <si>
    <t>12"x10" PVC SCH40 CROSS HxHxHxH FAB XIRTEC PVC</t>
  </si>
  <si>
    <t>420694F</t>
  </si>
  <si>
    <t>14"x4" PVC SCH40 CROSS HxHxHxH FAB XIRTEC PVC</t>
  </si>
  <si>
    <t>420696F</t>
  </si>
  <si>
    <t>14"x6" PVC SCH40 CROSS HxHxHxH FAB XIRTEC PVC</t>
  </si>
  <si>
    <t>420698F</t>
  </si>
  <si>
    <t>14"x8" PVC SCH40 CROSS HxHxHxH FAB XIRTEC PVC</t>
  </si>
  <si>
    <t>420700F</t>
  </si>
  <si>
    <t>14"x10" PVC SCH40 CROSS HxHxHxH FAB XIRTEC PVC</t>
  </si>
  <si>
    <t>420702F</t>
  </si>
  <si>
    <t>14"x12" PVC SCH40 CROSS HxHxHxH FAB XIRTEC PVC</t>
  </si>
  <si>
    <t>420754F</t>
  </si>
  <si>
    <t>16"x4" PVC SCH40 CROSS HxHxHxH FAB XIRTEC PVC</t>
  </si>
  <si>
    <t>420756F</t>
  </si>
  <si>
    <t>16"x6" PVC SCH40 CROSS HxHxHxH FAB XIRTEC PVC</t>
  </si>
  <si>
    <t>420758F</t>
  </si>
  <si>
    <t>16"x8" PVC SCH40 CROSS HxHxHxH FAB XIRTEC PVC</t>
  </si>
  <si>
    <t>420760F</t>
  </si>
  <si>
    <t>16"x10" PVC SCH40 CROSS HxHxHxH FAB XIRTEC PVC</t>
  </si>
  <si>
    <t>420762F</t>
  </si>
  <si>
    <t>16"x12" PVC SCH40 CROSS HxHxHxH FAB XIRTEC PVC</t>
  </si>
  <si>
    <t>420764F</t>
  </si>
  <si>
    <t>16"x14" PVC SCH40 CROSS HxHxHxH FAB XIRTEC PVC</t>
  </si>
  <si>
    <t>420784F</t>
  </si>
  <si>
    <t>18"x4" PVC SCH40 CROSS HxHxHxH FAB XIRTEC PVC</t>
  </si>
  <si>
    <t>420786F</t>
  </si>
  <si>
    <t>18"x6" PVC SCH40 CROSS HxHxHxH FAB XIRTEC PVC</t>
  </si>
  <si>
    <t>420788F</t>
  </si>
  <si>
    <t>18"x8" PVC SCH40 CROSS HxHxHxH FAB XIRTEC PVC</t>
  </si>
  <si>
    <t>420790F</t>
  </si>
  <si>
    <t>18"x10" PVC SCH40 CROSS HxHxHxH FAB XIRTEC PVC</t>
  </si>
  <si>
    <t>420792F</t>
  </si>
  <si>
    <t>18"x12" PVC SCH40 CROSS HxHxHxH FAB XIRTEC PVC</t>
  </si>
  <si>
    <t>420794F</t>
  </si>
  <si>
    <t>18"x14" PVC SCH40 CROSS HxHxHxH FAB XIRTEC PVC</t>
  </si>
  <si>
    <t>420796F</t>
  </si>
  <si>
    <t>18"x16" PVC SCH40 CROSS HxHxHxH FAB XIRTEC PVC</t>
  </si>
  <si>
    <t>420814F</t>
  </si>
  <si>
    <t>20"x4" PVC SCH40 CROSS HxHxHxH FAB XIRTEC PVC</t>
  </si>
  <si>
    <t>420816F</t>
  </si>
  <si>
    <t>20"x6" PVC SCH40 CROSS HxHxHxH FAB XIRTEC PVC</t>
  </si>
  <si>
    <t>420818F</t>
  </si>
  <si>
    <t>20"x8" PVC SCH40 CROSS HxHxHxH FAB XIRTEC PVC</t>
  </si>
  <si>
    <t>420820F</t>
  </si>
  <si>
    <t>20"x10" PVC SCH40 CROSS HxHxHxH FAB XIRTEC PVC</t>
  </si>
  <si>
    <t>420822F</t>
  </si>
  <si>
    <t>20"x12" PVC SCH40 CROSS HxHxHxH FAB XIRTEC PVC</t>
  </si>
  <si>
    <t>420824F</t>
  </si>
  <si>
    <t>20"x14" PVC SCH40 CROSS HxHxHxH FAB XIRTEC PVC</t>
  </si>
  <si>
    <t>420826F</t>
  </si>
  <si>
    <t>20"x16" PVC SCH40 CROSS HxHxHxH FAB XIRTEC PVC</t>
  </si>
  <si>
    <t>420828F</t>
  </si>
  <si>
    <t>20"x18" PVC SCH40 CROSS HxHxHxH FAB XIRTEC PVC</t>
  </si>
  <si>
    <t>420904F</t>
  </si>
  <si>
    <t>24"x4" PVC SCH40 CROSS HxHxHxH FAB XIRTEC PVC</t>
  </si>
  <si>
    <t>420906F</t>
  </si>
  <si>
    <t>24"x6" PVC SCH40 CROSS HxHxHxH FAB XIRTEC PVC</t>
  </si>
  <si>
    <t>420908F</t>
  </si>
  <si>
    <t>24"x8" PVC SCH40 CROSS HxHxHxH FAB XIRTEC PVC</t>
  </si>
  <si>
    <t>420910F</t>
  </si>
  <si>
    <t>24"x10" PVC SCH40 CROSS HxHxHxH FAB XIRTEC PVC</t>
  </si>
  <si>
    <t>420912F</t>
  </si>
  <si>
    <t>24"x12" PVC SCH40 CROSS HxHxHxH FAB XIRTEC PVC</t>
  </si>
  <si>
    <t>420914F</t>
  </si>
  <si>
    <t>24"x14" PVC SCH40 CROSS HxHxHxH FAB XIRTEC PVC</t>
  </si>
  <si>
    <t>420916F</t>
  </si>
  <si>
    <t>24"x16" PVC SCH40 CROSS HxHxHxH FAB XIRTEC PVC</t>
  </si>
  <si>
    <t>420918F</t>
  </si>
  <si>
    <t>24"x18" PVC SCH40 CROSS HxHxHxH FAB XIRTEC PVC</t>
  </si>
  <si>
    <t>420920F</t>
  </si>
  <si>
    <t>24"x20" PVC SCH40 CROSS HxHxHxH FAB XIRTEC PVC</t>
  </si>
  <si>
    <t>1/2" PVC SCH40 COUPLING FPTxFPT WHITE XIRTEC PVC</t>
  </si>
  <si>
    <t>3/4" PVC SCH40 COUPLING FPTxFPT WHITE XIRTEC PVC</t>
  </si>
  <si>
    <t>1" PVC SCH40 COUPLING FPTxFPT WHITE XIRTEC PVC</t>
  </si>
  <si>
    <t>3/8" PVC SCH40 COUPLING SOCxSOC WHITE XIRTEC PVC</t>
  </si>
  <si>
    <t>1/2" PVC SCH40 COUPLING SOCxSOC WHITE XIRTEC PVC</t>
  </si>
  <si>
    <t>3/4" PVC SCH40 COUPLING SOCxSOC WHITE XIRTEC PVC</t>
  </si>
  <si>
    <t>1" PVC SCH40 COUPLING SOCxSOC WHITE XIRTEC PVC</t>
  </si>
  <si>
    <t>1 1/4" PVC SCH40 COUPLINGSOCxSOC WHITE XIRTEC PVC</t>
  </si>
  <si>
    <t>1 1/2" PVC SCH40 COUPLINGSOCxSOC WHITE XIRTEC PVC</t>
  </si>
  <si>
    <t>2" PVC SCH40 COUPLING SOCxSOC WHITE XIRTEC PVC</t>
  </si>
  <si>
    <t>2 1/2" PVC SCH40 COUPLINGSOCxSOC WHITE XIRTEC PVC</t>
  </si>
  <si>
    <t>3" PVC SCH40 COUPLING SOCxSOC WHITE XIRTEC PVC</t>
  </si>
  <si>
    <t>4" PVC SCH40 COUPLING SOCxSOC WHITE XIRTEC PVC</t>
  </si>
  <si>
    <t>5" PVC SCH40 COUPLING SOCxSOC WHITE XIRTEC PVC</t>
  </si>
  <si>
    <t>6" PVC SCH40 COUPLING SOCxSOC WHITE XIRTEC PVC</t>
  </si>
  <si>
    <t>8" PVC SCH40 COUPLING SOCxSOC WHITE XIRTEC PVC</t>
  </si>
  <si>
    <t>10" PVC SCH40 COUPLING SOCxSOC WHITE XIRTEC PVC</t>
  </si>
  <si>
    <t>12" PVC SCH40 COUPLING SOCxSOC WHITE XIRTEC PVC</t>
  </si>
  <si>
    <t>429100F</t>
  </si>
  <si>
    <t>10" PVC SCH40 COUPLING HxH FAB XIRTEC PVC</t>
  </si>
  <si>
    <t>429120F</t>
  </si>
  <si>
    <t>12" PVC SCH40 COUPLING HxH FAB XIRTEC PVC</t>
  </si>
  <si>
    <t>429140F</t>
  </si>
  <si>
    <t>14" PVC SCH40 COUPLING HxH FAB XIRTEC PVC</t>
  </si>
  <si>
    <t>429160F</t>
  </si>
  <si>
    <t>16" PVC SCH40 COUPLING HxH FAB XIRTEC PVC</t>
  </si>
  <si>
    <t>429180F</t>
  </si>
  <si>
    <t>18" PVC SCH40 COUPLING HxH FAB XIRTEC PVC</t>
  </si>
  <si>
    <t>429200F</t>
  </si>
  <si>
    <t>20" PVC SCH40 COUPLING HxH FAB XIRTEC PVC</t>
  </si>
  <si>
    <t>429240F</t>
  </si>
  <si>
    <t>24" PVC SCH40 COUPLING HxH FAB XIRTEC PVC</t>
  </si>
  <si>
    <t>3/4"x1/2" PVC SCH40 RED. CPLG SOCxSOC WHITE XIRTECPVC</t>
  </si>
  <si>
    <t>1"x3/4" PVC SCH40 RED. CPLG SOCxSOC WHITE XIRTECPVC</t>
  </si>
  <si>
    <t>1 1/4"x1" PVC SCH40 RED. CPLG SOCxSOC WHITE XIRTECPVC</t>
  </si>
  <si>
    <t>1 1/2"x1 1/4" PVC SCH40 RED. CPLG SOCxSOC WHITE XIRTEC PVC</t>
  </si>
  <si>
    <t>2"x1 1/2" PVC SCH40 RED. CPLG SOCxSOC WHITE XIRTECPVC</t>
  </si>
  <si>
    <t>4"x3" PVC SCH40 RED. CPLGSOCxSOC WHITE XIRTEC PVC</t>
  </si>
  <si>
    <t>6"x4" PVC SCH40 RED. CPLGSOCxSOC WHITE XIRTEC PVC</t>
  </si>
  <si>
    <t>8"x4" PVC SCH40 RED. CPLGSOCxSOC WHITE XIRTEC PVC</t>
  </si>
  <si>
    <t>8"x6" PVC SCH40 RED. CPLGSOCxSOC WHITE XIRTEC PVC</t>
  </si>
  <si>
    <t>429532F</t>
  </si>
  <si>
    <t>6"x4" PVC SCH40 RED. CPLGHxH FAB XIRTEC PVC</t>
  </si>
  <si>
    <t>429582F</t>
  </si>
  <si>
    <t>8"x4" PVC SCH40 RED. CPLGHxH FAB XIRTEC PVC</t>
  </si>
  <si>
    <t>429585F</t>
  </si>
  <si>
    <t>8"x6" PVC SCH40 RED. CPLGHxH FAB XIRTEC PVC</t>
  </si>
  <si>
    <t>429624F</t>
  </si>
  <si>
    <t>10"x4" PVC SCH40 RED. CPLG HxH FAB XIRTEC PVC</t>
  </si>
  <si>
    <t>429626F</t>
  </si>
  <si>
    <t>10"x6" PVC SCH40 RED. CPLG HxH FAB XIRTEC PVC</t>
  </si>
  <si>
    <t>429628F</t>
  </si>
  <si>
    <t>10"x8" PVC SCH40 RED. CPLG HxH FAB XIRTEC PVC</t>
  </si>
  <si>
    <t>429664F</t>
  </si>
  <si>
    <t>12"x4" PVC SCH40 RED. CPLG HxH FAB XIRTEC PVC</t>
  </si>
  <si>
    <t>429666F</t>
  </si>
  <si>
    <t>12"x6" PVC SCH40 RED. CPLG HxH FAB XIRTEC PVC</t>
  </si>
  <si>
    <t>429668F</t>
  </si>
  <si>
    <t>12"x8" PVC SCH40 RED. CPLG HxH FAB XIRTEC PVC</t>
  </si>
  <si>
    <t>429670F</t>
  </si>
  <si>
    <t>12"x10" PVC SCH40 RED. CPLG HxH FAB XIRTEC PVC</t>
  </si>
  <si>
    <t>429694F</t>
  </si>
  <si>
    <t>14"x4" PVC SCH40 RED. CPLG HxH FAB XIRTEC PVC</t>
  </si>
  <si>
    <t>429696F</t>
  </si>
  <si>
    <t>14"x6" PVC SCH40 RED. CPLG HxH FAB XIRTEC PVC</t>
  </si>
  <si>
    <t>429698F</t>
  </si>
  <si>
    <t>14"x8" PVC SCH40 RED. CPLG HxH FAB XIRTEC PVC</t>
  </si>
  <si>
    <t>429700F</t>
  </si>
  <si>
    <t>14"x10" PVC SCH40 RED. CPLG HxH FAB XIRTEC PVC</t>
  </si>
  <si>
    <t>429702F</t>
  </si>
  <si>
    <t>14"x12" PVC SCH40 RED. CPLG HxH FAB XIRTEC PVC</t>
  </si>
  <si>
    <t>429754F</t>
  </si>
  <si>
    <t>16"x4" PVC SCH40 RED. CPLG HxH FAB XIRTEC PVC</t>
  </si>
  <si>
    <t>429756F</t>
  </si>
  <si>
    <t>16"x6" PVC SCH40 RED. CPLG HxH FAB XIRTEC PVC</t>
  </si>
  <si>
    <t>429758F</t>
  </si>
  <si>
    <t>16"x8" PVC SCH40 RED. CPLG HxH FAB XIRTEC PVC</t>
  </si>
  <si>
    <t>429760F</t>
  </si>
  <si>
    <t>16"x10" PVC SCH40 RED. CPLG HxH FAB XIRTEC PVC</t>
  </si>
  <si>
    <t>429762F</t>
  </si>
  <si>
    <t>16"x12" PVC SCH40 RED. CPLG HxH FAB XIRTEC PVC</t>
  </si>
  <si>
    <t>429764F</t>
  </si>
  <si>
    <t>16"x14" PVC SCH40 RED. CPLG HxH FAB XIRTEC PVC</t>
  </si>
  <si>
    <t>429784F</t>
  </si>
  <si>
    <t>18"x4" PVC SCH40 RED. CPLG HxH FAB XIRTEC PVC</t>
  </si>
  <si>
    <t>429786F</t>
  </si>
  <si>
    <t>18"x6" PVC SCH40 RED. CPLG HxH FAB XIRTEC PVC</t>
  </si>
  <si>
    <t>429788F</t>
  </si>
  <si>
    <t>18"x8" PVC SCH40 RED. CPLG HxH FAB XIRTEC PVC</t>
  </si>
  <si>
    <t>429790F</t>
  </si>
  <si>
    <t>18"x10" PVC SCH40 RED. CPLG HxH FAB XIRTEC PVC</t>
  </si>
  <si>
    <t>429792F</t>
  </si>
  <si>
    <t>18"x12" PVC SCH40 RED. CPLG HxH FAB XIRTEC PVC</t>
  </si>
  <si>
    <t>429794F</t>
  </si>
  <si>
    <t>18"x14" PVC SCH40 RED. CPLG HxH FAB XIRTEC PVC</t>
  </si>
  <si>
    <t>429796F</t>
  </si>
  <si>
    <t>18"x16" PVC SCH40 RED. CPLG HxH FAB XIRTEC PVC</t>
  </si>
  <si>
    <t>429814F</t>
  </si>
  <si>
    <t>20"x4" PVC SCH40 RED. CPLG HxH FAB XIRTEC PVC</t>
  </si>
  <si>
    <t>429816F</t>
  </si>
  <si>
    <t>20"x6" PVC SCH40 RED. CPLG HxH FAB XIRTEC PVC</t>
  </si>
  <si>
    <t>429818F</t>
  </si>
  <si>
    <t>20"x8" PVC SCH40 RED. CPLG HxH FAB XIRTEC PVC</t>
  </si>
  <si>
    <t>429820F</t>
  </si>
  <si>
    <t>20"x10" PVC SCH40 RED. CPLG HxH FAB XIRTEC PVC</t>
  </si>
  <si>
    <t>429822F</t>
  </si>
  <si>
    <t>20"x12" PVC SCH40 RED. CPLG HxH FAB XIRTEC PVC</t>
  </si>
  <si>
    <t>429824F</t>
  </si>
  <si>
    <t>20"x14" PVC SCH40 RED. CPLG HxH FAB XIRTEC PVC</t>
  </si>
  <si>
    <t>429826F</t>
  </si>
  <si>
    <t>20"x16" PVC SCH40 RED. CPLG HxH FAB XIRTEC PVC</t>
  </si>
  <si>
    <t>429828F</t>
  </si>
  <si>
    <t>20"x18" PVC SCH40 RED. CPLG HxH FAB XIRTEC PVC</t>
  </si>
  <si>
    <t>429904F</t>
  </si>
  <si>
    <t>24"x4" PVC SCH40 RED. CPLG HxH FAB XIRTEC PVC</t>
  </si>
  <si>
    <t>429906F</t>
  </si>
  <si>
    <t>24"x6" PVC SCH40 RED. CPLG HxH FAB XIRTEC PVC</t>
  </si>
  <si>
    <t>429908F</t>
  </si>
  <si>
    <t>24"x8" PVC SCH40 RED. CPLG HxH FAB XIRTEC PVC</t>
  </si>
  <si>
    <t>429910F</t>
  </si>
  <si>
    <t>24"x10" PVC SCH40 RED. CPLG HxH FAB XIRTEC PVC</t>
  </si>
  <si>
    <t>429912F</t>
  </si>
  <si>
    <t>24"x12" PVC SCH40 RED. CPLG HxH FAB XIRTEC PVC</t>
  </si>
  <si>
    <t>429914F</t>
  </si>
  <si>
    <t>24"x14" PVC SCH40 RED. CPLG HxH FAB XIRTEC PVC</t>
  </si>
  <si>
    <t>429916F</t>
  </si>
  <si>
    <t>24"x16" PVC SCH40 RED. CPLG HxH FAB XIRTEC PVC</t>
  </si>
  <si>
    <t>429918F</t>
  </si>
  <si>
    <t>24"x18" PVC SCH40 RED. CPLG HxH FAB XIRTEC PVC</t>
  </si>
  <si>
    <t>429920F</t>
  </si>
  <si>
    <t>24"x20" PVC SCH40 RED. CPLG HxH FAB XIRTEC PVC</t>
  </si>
  <si>
    <t>429532FE</t>
  </si>
  <si>
    <t>6"x4" PVC SCH40 ECC. RED.CPLG HxH FAB XIRTEC PVC</t>
  </si>
  <si>
    <t>429582FE</t>
  </si>
  <si>
    <t>8"x4" PVC SCH40 ECC. RED.CPLG HxH FAB XIRTEC PVC</t>
  </si>
  <si>
    <t>429585FE</t>
  </si>
  <si>
    <t>8"x6" PVC SCH40 ECC. RED.CPLG HxH FAB XIRTEC PVC</t>
  </si>
  <si>
    <t>429624FE</t>
  </si>
  <si>
    <t>10"x4" PVC SCH40 ECC. RED. CPLG HxH FAB XIRTEC PVC</t>
  </si>
  <si>
    <t>429626FE</t>
  </si>
  <si>
    <t>10"x6" PVC SCH40 ECC. RED. CPLG HxH FAB XIRTEC PVC</t>
  </si>
  <si>
    <t>429628FE</t>
  </si>
  <si>
    <t>10"x8" PVC SCH40 ECC. RED. CPLG HxH FAB XIRTEC PVC</t>
  </si>
  <si>
    <t>429664FE</t>
  </si>
  <si>
    <t>12"x4" PVC SCH40 ECC. RED. CPLG HxH FAB XIRTEC PVC</t>
  </si>
  <si>
    <t>429666FE</t>
  </si>
  <si>
    <t>12"x6" PVC SCH40 ECC. RED. CPLG HxH FAB XIRTEC PVC</t>
  </si>
  <si>
    <t>429668FE</t>
  </si>
  <si>
    <t>12"x8" PVC SCH40 ECC. RED. CPLG HxH FAB XIRTEC PVC</t>
  </si>
  <si>
    <t>429670FE</t>
  </si>
  <si>
    <t>12"x10" PVC SCH40 ECC. RED. CPLG HxH FAB XIRTEC PVC</t>
  </si>
  <si>
    <t>429696FE</t>
  </si>
  <si>
    <t>14"x6" PVC SCH40 ECC. RED. CPLG HxH FAB XIRTEC PVC</t>
  </si>
  <si>
    <t>429698FE</t>
  </si>
  <si>
    <t>14"x8" PVC SCH40 ECC. RED. CPLG HxH FAB XIRTEC PVC</t>
  </si>
  <si>
    <t>429700FE</t>
  </si>
  <si>
    <t>14"x10" PVC SCH40 ECC. RED. CPLG HxH FAB XIRTEC PVC</t>
  </si>
  <si>
    <t>429702FE</t>
  </si>
  <si>
    <t>14"x12" PVC SCH40 ECC. RED. CPLG HxH FAB XIRTEC PVC</t>
  </si>
  <si>
    <t>429758FE</t>
  </si>
  <si>
    <t>16"x8" PVC SCH40 ECC. RED. CPLG HxH FAB XIRTEC PVC</t>
  </si>
  <si>
    <t>429760FE</t>
  </si>
  <si>
    <t>16"x10" PVC SCH40 ECC. RED. CPLG HxH FAB XIRTEC PVC</t>
  </si>
  <si>
    <t>429762FE</t>
  </si>
  <si>
    <t>16"x12" PVC SCH40 ECC. RED. CPLG HxH FAB XIRTEC PVC</t>
  </si>
  <si>
    <t>429764FE</t>
  </si>
  <si>
    <t>16"x14" PVC SCH40 ECC. RED. CPLG HxH FAB XIRTEC PVC</t>
  </si>
  <si>
    <t>429790FE</t>
  </si>
  <si>
    <t>18"x10" PVC SCH40 ECC. RED. CPLG HxH FAB XIRTEC PVC</t>
  </si>
  <si>
    <t>429792FE</t>
  </si>
  <si>
    <t>18"x12" PVC SCH40 ECC. RED. CPLG HxH FAB XIRTEC PVC</t>
  </si>
  <si>
    <t>429794FE</t>
  </si>
  <si>
    <t>18"x14" PVC SCH40 ECC. RED. CPLG HxH FAB XIRTEC PVC</t>
  </si>
  <si>
    <t>429796FE</t>
  </si>
  <si>
    <t>18"x16" PVC SCH40 ECC. RED. CPLG HxH FAB XIRTEC PVC</t>
  </si>
  <si>
    <t>429822FE</t>
  </si>
  <si>
    <t>20"x12" PVC SCH40 ECC. RED. CPLG HxH FAB XIRTEC PVC</t>
  </si>
  <si>
    <t>429824FE</t>
  </si>
  <si>
    <t>20"x14" PVC SCH40 ECC. RED. CPLG HxH FAB XIRTEC PVC</t>
  </si>
  <si>
    <t>429826FE</t>
  </si>
  <si>
    <t>20"x16" PVC SCH40 ECC. RED. CPLG HxH FAB XIRTEC PVC</t>
  </si>
  <si>
    <t>429828FE</t>
  </si>
  <si>
    <t>20"x18" PVC SCH40 ECC. RED. CPLG HxH FAB XIRTEC PVC</t>
  </si>
  <si>
    <t>429914FE</t>
  </si>
  <si>
    <t>24"x14" PVC SCH40 ECC. RED. CPLG HxH FAB XIRTEC PVC</t>
  </si>
  <si>
    <t>429916FE</t>
  </si>
  <si>
    <t>24"x16" PVC SCH40 ECC. RED. CPLG HxH FAB XIRTEC PVC</t>
  </si>
  <si>
    <t>429918FE</t>
  </si>
  <si>
    <t>24"x18" PVC SCH40 ECC. RED. CPLG HxH FAB XIRTEC PVC</t>
  </si>
  <si>
    <t>429920FE</t>
  </si>
  <si>
    <t>24"x20" PVC SCH40 ECC. RED. CPLG HxH FAB XIRTEC PVC</t>
  </si>
  <si>
    <t>1/2" PVC SCH40 FEMALE ADPT SOCxFPT WHITE XIRTECPVC</t>
  </si>
  <si>
    <t>3/4" PVC SCH40 FEMALE ADPT SOCxFPT WHITE XIRTECPVC</t>
  </si>
  <si>
    <t>1" PVC SCH40 FEMALE ADPT SOCxFPT WHITE XIRTEC PVC</t>
  </si>
  <si>
    <t>1 1/4" PVC SCH40 FEMALE ADPT SOCxFPT WHITE XIRTECPVC</t>
  </si>
  <si>
    <t>1 1/2" PVC SCH40 FEMALE ADPT SOCxFPT WHITE XIRTECPVC</t>
  </si>
  <si>
    <t>2" PVC SCH40 FEMALE ADPT SOCxFPT WHITE XIRTEC PVC</t>
  </si>
  <si>
    <t>2 1/2" PVC SCH40 FEMALE ADPT SOCxFPT WHITE XIRTECPVC</t>
  </si>
  <si>
    <t>3" PVC SCH40 FEMALE ADPT SOCxFPT WHITE XIRTEC PVC</t>
  </si>
  <si>
    <t>4" PVC SCH40 FEMALE ADPT SOCxFPT WHITE XIRTEC PVC</t>
  </si>
  <si>
    <t>5" PVC SCH40 FEMALE ADPT SOCxFPT WHITE XIRTEC PVC</t>
  </si>
  <si>
    <t>6" PVC SCH40 FEMALE ADPT SOCxFPT WHITE XIRTEC PVC</t>
  </si>
  <si>
    <t>8" PVC SCH40 FEMALE ADPT SOCxFPT WHITE XIRTEC PVC</t>
  </si>
  <si>
    <t>435080F</t>
  </si>
  <si>
    <t>8" PVC SCH40 ADPT CPLG HxFPT FAB XIRTEC PVC</t>
  </si>
  <si>
    <t>435100F</t>
  </si>
  <si>
    <t>10" PVC SCH40 ADPT CPLG HxFPT FAB XIRTEC PVC</t>
  </si>
  <si>
    <t>435120F</t>
  </si>
  <si>
    <t>12" PVC SCH40 ADPT CPLG HxFPT FAB XIRTEC PVC</t>
  </si>
  <si>
    <t>478060F</t>
  </si>
  <si>
    <t>6" PVC SCH40 ADPT CPLG SPxFPT FAB XIRTEC PVC</t>
  </si>
  <si>
    <t>478080F</t>
  </si>
  <si>
    <t>8" PVC SCH40 ADPT CPLG SPxFPT FAB XIRTEC PVC</t>
  </si>
  <si>
    <t>478100F</t>
  </si>
  <si>
    <t>10" PVC SCH40 ADPT CPLG SPxFPT FAB XIRTEC PVC</t>
  </si>
  <si>
    <t>478120F</t>
  </si>
  <si>
    <t>12" PVC SCH40 ADPT CPLG SPxFPT FAB XIRTEC PVC</t>
  </si>
  <si>
    <t>1/2"x1/4" PVC SCH40 RED. FEMALE ADPT SOCxFPT WHITEXIRTEC PVC</t>
  </si>
  <si>
    <t>1/2"x3/8" PVC SCH40 RED. FEMALE ADPT SOCxFPT WHITEXIRTEC PVC</t>
  </si>
  <si>
    <t>1/2"x3/4" PVC SCH40 RED. FEMALE ADPT SOCxFPT WHITEXIRTEC PVC</t>
  </si>
  <si>
    <t>3/4"x1/2" PVC SCH40 RED. FEMALE ADPT SOCxFPT WHITEXIRTEC PVC</t>
  </si>
  <si>
    <t>3/4"x1" PVC SCH40 RED. FEMALE ADPT SOCxFPT WHITEXIRTEC PVC</t>
  </si>
  <si>
    <t>1"x3/4" PVC SCH40 RED. FEMALE ADPT SOCxFPT WHITEXIRTEC PVC</t>
  </si>
  <si>
    <t>3/8" PVC SCH40 MALE ADPT SOCxMPT WHITE XIRTEC PVC</t>
  </si>
  <si>
    <t>1/2" PVC SCH40 MALE ADPT SOCxMPT WHITE XIRTEC PVC</t>
  </si>
  <si>
    <t>3/4" PVC SCH40 MALE ADPT SOCxMPT WHITE XIRTEC PVC</t>
  </si>
  <si>
    <t>1" PVC SCH40 MALE ADPT SOCxMPT WHITE XIRTEC PVC</t>
  </si>
  <si>
    <t>1 1/4" PVC SCH40 MALE ADPT SOCxMPT WHITE XIRTECPVC</t>
  </si>
  <si>
    <t>1 1/2" PVC SCH40 MALE ADPT SOCxMPT WHITE XIRTECPVC</t>
  </si>
  <si>
    <t>2" PVC SCH40 MALE ADPT SOCxMPT WHITE XIRTEC PVC</t>
  </si>
  <si>
    <t>2 1/2" PVC SCH40 MALE ADPT SOCxMPT WHITE XIRTECPVC</t>
  </si>
  <si>
    <t>3" PVC SCH40 MALE ADPT SOCxMPT WHITE XIRTEC PVC</t>
  </si>
  <si>
    <t>4" PVC SCH40 MALE ADPT SOCxMPT WHITE XIRTEC PVC</t>
  </si>
  <si>
    <t>5" PVC SCH40 MALE ADPT SOCxMPT WHITE XIRTEC PVC</t>
  </si>
  <si>
    <t>6" PVC SCH40 MALE ADPT SOCxMPT WHITE XIRTEC PVC</t>
  </si>
  <si>
    <t>8" PVC SCH40 MALE ADPT SOCxMPT WHITE XIRTEC PVC</t>
  </si>
  <si>
    <t>436080F</t>
  </si>
  <si>
    <t>8" PVC SCH40 ADPT CPLG HxMPT FAB XIRTEC PVC</t>
  </si>
  <si>
    <t>436100F</t>
  </si>
  <si>
    <t>10" PVC SCH40 ADPT CPLG HxMPT FAB XIRTEC PVC</t>
  </si>
  <si>
    <t>436120F</t>
  </si>
  <si>
    <t>12" PVC SCH40 ADPT CPLG HxMPT FAB XIRTEC PVC</t>
  </si>
  <si>
    <t>461080F</t>
  </si>
  <si>
    <t>8" PVC SCH40 ADPT CPLG SPxMPT FAB XIRTEC PVC</t>
  </si>
  <si>
    <t>461100F</t>
  </si>
  <si>
    <t>10" PVC SCH40 ADPT CPLG SPxMPT FAB XIRTEC PVC</t>
  </si>
  <si>
    <t>461120F</t>
  </si>
  <si>
    <t>12" PVC SCH40 ADPT CPLG SPxMPT FAB XIRTEC PVC</t>
  </si>
  <si>
    <t>1/2"x3/4" PVC SCH40 RED. MALE ADPT MPTxSOC WHITE XIRTEC PVC</t>
  </si>
  <si>
    <t>3/4"x1/2" PVC SCH40 RED. MALE ADPT MPTxSOC WHITE XIRTEC PVC</t>
  </si>
  <si>
    <t>3/4"x1" PVC SCH40 RED. MALE ADPT MPTxSOC WHITE XIRTEC PVC</t>
  </si>
  <si>
    <t>1"x3/4" PVC SCH40 RED. MALE ADPT MPTxSOC WHITE XIRTEC PVC</t>
  </si>
  <si>
    <t>1"x1 1/4" PVC SCH40 RED. MALE ADPT MPTxSOC WHITE XIRTEC PVC</t>
  </si>
  <si>
    <t>1 1/4"x1" PVC SCH40 RED. MALE ADPT MPTxSOC WHITE XIRTEC PVC</t>
  </si>
  <si>
    <t>1 1/4"x1 1/2" PVC SCH40 RED. MALE ADPT MPTxSOC WHITE XIRTEC PVC</t>
  </si>
  <si>
    <t>1 1/2"x1 1/4" PVC SCH40 RED. MALE ADPT MPTxSOC WHITE XIRTEC PVC</t>
  </si>
  <si>
    <t>1 1/2"x2" PVC SCH40 RED. MALE ADPT MPTxSOC WHITE XIRTEC PVC</t>
  </si>
  <si>
    <t>2"x1 1/2" PVC SCH40 RED. MALE ADPT MPTxSOC WHITE XIRTEC PVC</t>
  </si>
  <si>
    <t>2"x2 1/2" PVC SCH40 RED. MALE ADPT MPTxSOC WHITE XIRTEC PVC</t>
  </si>
  <si>
    <t>2 1/2"x3" PVC SCH40 RED. MALE ADPT MPTxSOC WHITE XIRTEC PVC</t>
  </si>
  <si>
    <t>2 1/2"x4" PVC SCH40 RED. MALE ADPT MPTxSOC WHITE XIRTEC PVC</t>
  </si>
  <si>
    <t>3"x4" PVC SCH40 RED. MALEADPT MPTxSOC WHITE XIRTECPVC</t>
  </si>
  <si>
    <t>6" PVC SCH40 IPS TO PIP ADPT SPxSOC WHITE XIRTEC PVC</t>
  </si>
  <si>
    <t>8" PVC SCH40 IPS TO PIP ADPT SPxSOC WHITE XIRTEC PVC</t>
  </si>
  <si>
    <t>1/2" PVC SCH40 RISER EXTENSION FPTxMPT WHITE XIRTEC PVC</t>
  </si>
  <si>
    <t>3/4" PVC SCH40 RISER EXTENSION FPTxMPT WHITE XIRTEC PVC</t>
  </si>
  <si>
    <t>1" PVC SCH40 RISER EXTENSION FPTxMPT WHITE XIRTEC PVC</t>
  </si>
  <si>
    <t>1/2" PVC SCH40 FEMALE ADPT SPxFPT WHITE XIRTEC PVC</t>
  </si>
  <si>
    <t>3/4" PVC SCH40 FEMALE ADPT SPxFPT WHITE XIRTEC PVC</t>
  </si>
  <si>
    <t>1" PVC SCH40 FEMALE ADPT SPxFPT WHITE XIRTEC PVC</t>
  </si>
  <si>
    <t>1 1/4" PVC SCH40 FEMALE ADPT SPxFPT WHITE XIRTEC PVC</t>
  </si>
  <si>
    <t>1 1/2" PVC SCH40 FEMALE ADPT SPxFPT WHITE XIRTEC PVC</t>
  </si>
  <si>
    <t>2" PVC SCH40 FEMALE ADPT SPxFPT WHITE XIRTEC PVC</t>
  </si>
  <si>
    <t>3" PVC SCH40 FEMALE ADPT SPxFPT WHITE XIRTEC PVC</t>
  </si>
  <si>
    <t>4" PVC SCH40 FEMALE ADPT SPxFPT WHITE XIRTEC PVC</t>
  </si>
  <si>
    <t>1/2"x1/4" PVC SCH40 RED. BUSHING SPxSOC WHITE XIRTEC PVC</t>
  </si>
  <si>
    <t>1/2"x3/8" PVC SCH40 RED. BUSHING SPxSOC WHITE XIRTEC PVC</t>
  </si>
  <si>
    <t>3/4"x1/2" PVC SCH40 RED. BUSHING SPxSOC WHITE XIRTEC PVC</t>
  </si>
  <si>
    <t>1"x1/2" PVC SCH40 RED. BUSHING SPxSOC WHITE XIRTEC PVC</t>
  </si>
  <si>
    <t>1"x3/4" PVC SCH40 RED. BUSHING SPxSOC WHITE XIRTEC PVC</t>
  </si>
  <si>
    <t>1 1/4"x1/2" PVC SCH40 RED. BUSHING SPxSOC WHITEXIRTEC PVC</t>
  </si>
  <si>
    <t>1 1/4"x3/4" PVC SCH40 RED. BUSHING SPxSOC WHITEXIRTEC PVC</t>
  </si>
  <si>
    <t>1 1/4"x1" PVC SCH40 RED. BUSHING SPxSOC WHITE XIRTEC PVC</t>
  </si>
  <si>
    <t>1 1/2"x1/2" PVC SCH40 RED. BUSHING SPxSOC WHITEXIRTEC PVC</t>
  </si>
  <si>
    <t>1 1/2"x3/4" PVC SCH40 RED. BUSHING SPxSOC WHITEXIRTEC PVC</t>
  </si>
  <si>
    <t>1 1/2"x1" PVC SCH40 RED. BUSHING SPxSOC WHITE XIRTEC PVC</t>
  </si>
  <si>
    <t>1 1/2"x1 1/4" PVC SCH40 RED. BUSHING SPxSOC WHITEXIRTEC PVC</t>
  </si>
  <si>
    <t>2"x1/2" PVC SCH40 RED. BUSHING SPxSOC WHITE XIRTEC PVC</t>
  </si>
  <si>
    <t>2"x3/4" PVC SCH40 RED. BUSHING SPxSOC WHITE XIRTEC PVC</t>
  </si>
  <si>
    <t>2"x1" PVC SCH40 RED. BUSHING SPxSOC WHITE XIRTEC PVC</t>
  </si>
  <si>
    <t>2"x1 1/4" PVC SCH40 RED. BUSHING SPxSOC WHITE XIRTEC PVC</t>
  </si>
  <si>
    <t>2"x1 1/2" PVC SCH40 RED. BUSHING SPxSOC WHITE XIRTEC PVC</t>
  </si>
  <si>
    <t>2 1/2"x1/2" PVC SCH40 RED. BUSHING SPxSOC WHITEXIRTEC PVC</t>
  </si>
  <si>
    <t>2 1/2"x3/4" PVC SCH40 RED. BUSHING SPxSOC WHITEXIRTEC PVC</t>
  </si>
  <si>
    <t>2 1/2"x1" PVC SCH40 RED. BUSHING SPxSOC WHITE XIRTEC PVC</t>
  </si>
  <si>
    <t>2 1/2"x1 1/4" PVC SCH40 RED. BUSHING SPxSOC WHITEXIRTEC PVC</t>
  </si>
  <si>
    <t>2 1/2"x1 1/2" PVC SCH40 RED. BUSHING SPxSOC WHITEXIRTEC PVC</t>
  </si>
  <si>
    <t>2 1/2"x2" PVC SCH40 RED. BUSHING SPxSOC WHITE XIRTEC PVC</t>
  </si>
  <si>
    <t>3"x3/4" PVC SCH40 RED. BUSHING SPxSOC WHITE XIRTEC PVC</t>
  </si>
  <si>
    <t>3"x1" PVC SCH40 RED. BUSHING SPxSOC WHITE XIRTEC PVC</t>
  </si>
  <si>
    <t>3"x1 1/4" PVC SCH40 RED. BUSHING SPxSOC WHITE XIRTEC PVC</t>
  </si>
  <si>
    <t>3"x1 1/2" PVC SCH40 RED. BUSHING SPxSOC WHITE XIRTEC PVC</t>
  </si>
  <si>
    <t>3"x2" PVC SCH40 RED. BUSHING SPxSOC WHITE XIRTEC PVC</t>
  </si>
  <si>
    <t>3"x2 1/2" PVC SCH40 RED. BUSHING SPxSOC WHITE XIRTEC PVC</t>
  </si>
  <si>
    <t>4"x2" PVC SCH40 RED. BUSHING SPxSOC WHITE XIRTEC PVC</t>
  </si>
  <si>
    <t>4"x2 1/2" PVC SCH40 RED. BUSHING SPxSOC WHITE XIRTEC PVC</t>
  </si>
  <si>
    <t>4"x3" PVC SCH40 RED. BUSHING SPxSOC WHITE XIRTEC PVC</t>
  </si>
  <si>
    <t>5"x2" PVC SCH40 RED. BUSHING SPxSOC WHITE XIRTEC PVC</t>
  </si>
  <si>
    <t>5"x3" PVC SCH40 RED. BUSHING SPxSOC WHITE XIRTEC PVC</t>
  </si>
  <si>
    <t>5"x4" PVC SCH40 RED. BUSHING SPxSOC WHITE XIRTEC PVC</t>
  </si>
  <si>
    <t>6"x2" PVC SCH40 RED. BUSHING SPxSOC WHITE XIRTEC PVC</t>
  </si>
  <si>
    <t>6"x3" PVC SCH40 RED. BUSHING SPxSOC WHITE XIRTEC PVC</t>
  </si>
  <si>
    <t>6"x4" PVC SCH40 RED. BUSHING SPxSOC WHITE XIRTEC PVC</t>
  </si>
  <si>
    <t>6"x5" PVC SCH40 RED. BUSHING SPxSOC WHITE XIRTEC PVC</t>
  </si>
  <si>
    <t>8"x4" PVC SCH40 RED. BUSHING SPxSOC WHITE XIRTEC PVC</t>
  </si>
  <si>
    <t>8"x6" PVC SCH40 RED. BUSHING SPxSOC WHITE XIRTEC PVC</t>
  </si>
  <si>
    <t>10"x6" PVC SCH40 140 PSI RED. BUSHING SPxSOC WHITEXIRTEC PVC</t>
  </si>
  <si>
    <t>10"x8" PVC SCH40 RED. BUSHING SPxSOC XIRTEC PVC</t>
  </si>
  <si>
    <t>12"x8" PVC SCH40 130 PSI FLUSH RED. BUSHING SPxSOCWHITE XIRTEC PVC</t>
  </si>
  <si>
    <t>12"x10" PVC SCH40 130 PSIFLUSH RED. BUSHING SPxSOCWHITE XIRTEC PVC</t>
  </si>
  <si>
    <t>437580F</t>
  </si>
  <si>
    <t>8"x3" PVC SCH40 FLUSH RED. BUSHING SPxH FAB XIRTEC PVC</t>
  </si>
  <si>
    <t>437624F</t>
  </si>
  <si>
    <t>10"x4" PVC SCH40 140 PSI FLUSH RED. BUSHING SPxSOCFAB XIRTEC PVC</t>
  </si>
  <si>
    <t>437626F</t>
  </si>
  <si>
    <t>10"x6" PVC SCH40 FLUSH RED. BUSHING SPxH FAB XIRTEC PVC</t>
  </si>
  <si>
    <t>437628F</t>
  </si>
  <si>
    <t>10"x8" PVC SCH40 FLUSH RED. BUSHING SPxH FAB XIRTEC PVC</t>
  </si>
  <si>
    <t>437664F</t>
  </si>
  <si>
    <t>12"x4" PVC SCH40 130 PSI FLUSH RED. BUSHING SPxSOCFAB XIRTEC PVC</t>
  </si>
  <si>
    <t>437666F</t>
  </si>
  <si>
    <t>12"x6" PVC SCH40 FLUSH RED. BUSHING SPxSOC WHITEXIRTEC PVC</t>
  </si>
  <si>
    <t>437668F</t>
  </si>
  <si>
    <t>12"x8" PVC SCH40 FLUSH RED. BUSHING SPxH FAB XIRTEC PVC</t>
  </si>
  <si>
    <t>437670F</t>
  </si>
  <si>
    <t>12"x10" PVC SCH40 FLUSH RED. BUSHING SPxH FAB XIRTEC PVC</t>
  </si>
  <si>
    <t>437693F</t>
  </si>
  <si>
    <t>14"x3" PVC SCH40 FLUSH RED. BUSHING SPxH FAB XIRTEC PVC</t>
  </si>
  <si>
    <t>437694F</t>
  </si>
  <si>
    <t>14"x4" PVC SCH40 FLUSH RED. BUSHING SPxH FAB XIRTEC PVC</t>
  </si>
  <si>
    <t>437696F</t>
  </si>
  <si>
    <t>14"x6" PVC SCH40 FLUSH RED. BUSHING SPxH FAB XIRTEC PVC</t>
  </si>
  <si>
    <t>437698F</t>
  </si>
  <si>
    <t>14"x8" PVC SCH40 FLUSH RED. BUSHING SPxSOC WHITEXIRTEC PVC</t>
  </si>
  <si>
    <t>437700F</t>
  </si>
  <si>
    <t>14"x10" PVC SCH40 FLUSH RED. BUSHING SPxH FAB XIRTEC PVC</t>
  </si>
  <si>
    <t>437702F</t>
  </si>
  <si>
    <t>14"x12" PVC SCH40 FLUSH RED. BUSHING SPxH FAB XIRTEC PVC</t>
  </si>
  <si>
    <t>437756F</t>
  </si>
  <si>
    <t>16"x6" PVC SCH40 RED. BUSHING SPxSOC WHITE FAB XIRTEC PVC</t>
  </si>
  <si>
    <t>437758F</t>
  </si>
  <si>
    <t>16"x8" PVC SCH40 FLUSH RED. BUSHING SPxH FAB XIRTEC PVC</t>
  </si>
  <si>
    <t>437760F</t>
  </si>
  <si>
    <t>16"x10" PVC SCH40 FLUSH RED. BUSHING SPxH FAB XIRTEC PVC</t>
  </si>
  <si>
    <t>437762F</t>
  </si>
  <si>
    <t>16"x12" PVC SCH40 FLUSH RED. BUSHING SPxH FAB XIRTEC PVC</t>
  </si>
  <si>
    <t>437764F</t>
  </si>
  <si>
    <t>16"x14" PVC SCH40 FLUSH RED. BUSHING SPxH FAB XIRTEC PVC</t>
  </si>
  <si>
    <t>437786F</t>
  </si>
  <si>
    <t>18"x6" PVC SCH40 RED. BUSHING SPxSOC WHITE FAB XIRTEC PVC</t>
  </si>
  <si>
    <t>437788F</t>
  </si>
  <si>
    <t>18"x8" PVC SCH40 RED. BUSHING SPxSOC WHITE FAB XIRTEC PVC</t>
  </si>
  <si>
    <t>437790F</t>
  </si>
  <si>
    <t>18"x10" PVC SCH40 RED. BUSHING SPxSOC WHITE FAB XIRTEC PVC</t>
  </si>
  <si>
    <t>437792F</t>
  </si>
  <si>
    <t>18"x12" PVC SCH40 RED. BUSHING SPxSOC WHITE FAB XIRTEC PVC</t>
  </si>
  <si>
    <t>437794F</t>
  </si>
  <si>
    <t>18"x14" PVC SCH40 FLUSH RED. BUSHING SPxH FAB XIRTEC PVC</t>
  </si>
  <si>
    <t>437796F</t>
  </si>
  <si>
    <t>18"x16" PVC SCH40 FLUSH RED. BUSHING SPxH FAB XIRTEC PVC</t>
  </si>
  <si>
    <t>437816F</t>
  </si>
  <si>
    <t>20"x6" PVC SCH40 RED. BUSHING SPxSOC WHITE FAB XIRTEC PVC</t>
  </si>
  <si>
    <t>437818F</t>
  </si>
  <si>
    <t>20"x8" PVC SCH40 RED. BUSHING SPxSOC WHITE FAB XIRTEC PVC</t>
  </si>
  <si>
    <t>437820F</t>
  </si>
  <si>
    <t>20"x10" PVC SCH40 RED. BUSHING SPxSOC WHITE FAB XIRTEC PVC</t>
  </si>
  <si>
    <t>437822F</t>
  </si>
  <si>
    <t>20"x12" PVC SCH40 RED. BUSHING SPxSOC WHITE FAB XIRTEC PVC</t>
  </si>
  <si>
    <t>437824F</t>
  </si>
  <si>
    <t>20"x14" PVC SCH40 RED. BUSHING SPxSOC WHITE FAB XIRTEC PVC</t>
  </si>
  <si>
    <t>437826F</t>
  </si>
  <si>
    <t>20"x16" PVC SCH40 FLUSH RED. BUSHING SPxH FAB XIRTEC PVC</t>
  </si>
  <si>
    <t>437828F</t>
  </si>
  <si>
    <t>20"x18" PVC SCH40 FLUSH RED. BUSHING SPxH FAB XIRTEC PVC</t>
  </si>
  <si>
    <t>437906F</t>
  </si>
  <si>
    <t>24"x6" PVC SCH40 RED. BUSHING SPxSOC WHITE FAB XIRTEC PVC</t>
  </si>
  <si>
    <t>437908F</t>
  </si>
  <si>
    <t>24"x8" PVC SCH40 RED. BUSHING SPxSOC WHITE FAB XIRTEC PVC</t>
  </si>
  <si>
    <t>437910F</t>
  </si>
  <si>
    <t>24"x10" PVC SCH40 RED. BUSHING SPxSOC WHITE FAB XIRTEC PVC</t>
  </si>
  <si>
    <t>437912F</t>
  </si>
  <si>
    <t>24"x12" PVC SCH40 RED. BUSHING SPxSOC WHITE FAB XIRTEC PVC</t>
  </si>
  <si>
    <t>437914F</t>
  </si>
  <si>
    <t>24"x14" PVC SCH40 RED. BUSHING SPxSOC WHITE FAB XIRTEC PVC</t>
  </si>
  <si>
    <t>437916F</t>
  </si>
  <si>
    <t>24"x16" PVC SCH40 RED. BUSHING SPxSOC WHITE FAB XIRTEC PVC</t>
  </si>
  <si>
    <t>437918F</t>
  </si>
  <si>
    <t>24"x18" PVC SCH40 FLUSH RED. BUSHING SPxH FAB XIRTEC PVC</t>
  </si>
  <si>
    <t>437920F</t>
  </si>
  <si>
    <t>24"x20" PVC SCH40 FLUSH RED. BUSHING SPxH FAB XIRTEC PVC</t>
  </si>
  <si>
    <t>1/2"x1/8" PVC SCH40 RED. BUSHING SPxFPT WHITE XIRTEC PVC</t>
  </si>
  <si>
    <t>1/2"x1/4" PVC SCH40 RED. BUSHING SPxFPT WHITE XIRTEC PVC</t>
  </si>
  <si>
    <t>1/2"x3/8" PVC SCH40 RED. BUSHING SPxFPT WHITE XIRTEC PVC</t>
  </si>
  <si>
    <t>3/4"x1/4" PVC SCH40 RED. BUSHING SPxFPT WHITE XIRTEC PVC</t>
  </si>
  <si>
    <t>3/4"x1/2" PVC SCH40 RED. BUSHING SPxFPT WHITE XIRTEC PVC</t>
  </si>
  <si>
    <t>1"x3/8" PVC SCH40 RED. BUSHING SPxFPT WHITE XIRTEC PVC</t>
  </si>
  <si>
    <t>1"x1/2" PVC SCH40 RED. BUSHING SPxFPT WHITE XIRTEC PVC</t>
  </si>
  <si>
    <t>1"x3/4" PVC SCH40 RED. BUSHING SPxFPT WHITE XIRTEC PVC</t>
  </si>
  <si>
    <t>1 1/4"x1/2" PVC SCH40 RED. BUSHING SPxFPT WHITEXIRTEC PVC</t>
  </si>
  <si>
    <t>1 1/4"x3/4" PVC SCH40 RED. BUSHING SPxFPT WHITEXIRTEC PVC</t>
  </si>
  <si>
    <t>1 1/4"x1" PVC SCH40 RED. BUSHING SPxFPT WHITE XIRTEC PVC</t>
  </si>
  <si>
    <t>1 1/2"x1/2" PVC SCH40 RED. BUSHING SPxFPT WHITEXIRTEC PVC</t>
  </si>
  <si>
    <t>1 1/2"x3/4" PVC SCH40 RED. BUSHING SPxFPT WHITEXIRTEC PVC</t>
  </si>
  <si>
    <t>1 1/2"x1" PVC SCH40 RED. BUSHING SPxFPT WHITE XIRTEC PVC</t>
  </si>
  <si>
    <t>1 1/2"x1 1/4" PVC SCH40 RED. BUSHING SPxFPT WHITEXIRTEC PVC</t>
  </si>
  <si>
    <t>2"x1/2" PVC SCH40 RED. BUSHING SPxFPT WHITE XIRTEC PVC</t>
  </si>
  <si>
    <t>2"x3/4" PVC SCH40 RED. BUSHING SPxFPT WHITE XIRTEC PVC</t>
  </si>
  <si>
    <t>2"x1" PVC SCH40 RED. BUSHING SPxFPT WHITE XIRTEC PVC</t>
  </si>
  <si>
    <t>2"x1 1/4" PVC SCH40 RED. BUSHING SPxFPT WHITE XIRTEC PVC</t>
  </si>
  <si>
    <t>2"x1 1/2" PVC SCH40 RED. BUSHING SPxFPT WHITE XIRTEC PVC</t>
  </si>
  <si>
    <t>2 1/2"x1/2" PVC SCH40 RED. BUSHING SPxFPT WHITEXIRTEC PVC</t>
  </si>
  <si>
    <t>2 1/2"x3/4" PVC SCH40 RED. BUSHING SPxFPT WHITEXIRTEC PVC</t>
  </si>
  <si>
    <t>2 1/2"x1" PVC SCH40 RED. BUSHING SPxFPT WHITE XIRTEC PVC</t>
  </si>
  <si>
    <t>2 1/2"x1 1/4" PVC SCH40 RED. BUSHING SPxFPT WHITEXIRTEC PVC</t>
  </si>
  <si>
    <t>2 1/2"x1 1/2" PVC SCH40 RED. BUSHING SPxFPT WHITEXIRTEC PVC</t>
  </si>
  <si>
    <t>2 1/2"x2" PVC SCH40 RED. BUSHING SPxFPT WHITE XIRTEC PVC</t>
  </si>
  <si>
    <t>3"x3/4" PVC SCH40 RED. BUSHING SPxFPT WHITE XIRTEC PVC</t>
  </si>
  <si>
    <t>3"x1" PVC SCH40 RED. BUSHING SPxFPT WHITE XIRTEC PVC</t>
  </si>
  <si>
    <t>3"x1 1/4" PVC SCH40 RED. BUSHING SPxFPT WHITE XIRTEC PVC</t>
  </si>
  <si>
    <t>3"x1 1/2" PVC SCH40 RED. BUSHING SPxFPT WHITE XIRTEC PVC</t>
  </si>
  <si>
    <t>3"x2" PVC SCH40 RED. BUSHING SPxFPT WHITE XIRTEC PVC</t>
  </si>
  <si>
    <t>3"x2 1/2" PVC SCH40 RED. BUSHING SPxFPT WHITE XIRTEC PVC</t>
  </si>
  <si>
    <t>4"x2" PVC SCH40 RED. BUSHING SPxFPT WHITE XIRTEC PVC</t>
  </si>
  <si>
    <t>4"x2 1/2" PVC SCH40 RED. BUSHING SPxFPT WHITE XIRTEC PVC</t>
  </si>
  <si>
    <t>4"x3" PVC SCH40 RED. BUSHING SPxFPT WHITE XIRTEC PVC</t>
  </si>
  <si>
    <t>5"x3" PVC SCH40 RED. BUSHING SPxFPT WHITE XIRTEC PVC</t>
  </si>
  <si>
    <t>5"x4" PVC SCH40 RED. BUSHING SPxFPT WHITE XIRTEC PVC</t>
  </si>
  <si>
    <t>6"x2" PVC SCH40 RED. BUSHING SPxFPT WHITE XIRTEC PVC</t>
  </si>
  <si>
    <t>6"x3" PVC SCH40 RED. BUSHING SPxFPT WHITE XIRTEC PVC</t>
  </si>
  <si>
    <t>6"x4" PVC SCH40 RED. BUSHING SPxFPT WHITE XIRTEC PVC</t>
  </si>
  <si>
    <t>6"x5" PVC SCH40 RED. BUSHING SPxFPT WHITE XIRTEC PVC</t>
  </si>
  <si>
    <t>3/8"x1/4" PVC SCH40 RED. BUSHING MPTxFPT WHITE XIRTEC PVC</t>
  </si>
  <si>
    <t>1/2"x1/4" PVC SCH40 RED. BUSHING MPTxFPT WHITE XIRTEC PVC</t>
  </si>
  <si>
    <t>1/2"x3/8" PVC SCH40 RED. BUSHING MPTxFPT WHITE XIRTEC PVC</t>
  </si>
  <si>
    <t>3/4"x1/4" PVC SCH40 RED. BUSHING MPTxFPT WHITE XIRTEC PVC</t>
  </si>
  <si>
    <t>3/4"x3/8" PVC SCH40 RED. BUSHING MPTxFPT WHITE XIRTEC PVC</t>
  </si>
  <si>
    <t>3/4"x1/2" PVC SCH40 RED. BUSHING MPTxFPT WHITE XIRTEC PVC</t>
  </si>
  <si>
    <t>1"x1/2" PVC SCH40 RED. BUSHING MPTxFPT WHITE XIRTEC PVC</t>
  </si>
  <si>
    <t>1"x3/4" PVC SCH40 RED. BUSHING MPTxFPT WHITE XIRTEC PVC</t>
  </si>
  <si>
    <t>1 1/4"x1/2" PVC SCH40 RED. BUSHING MPTxFPT WHITE XIRTEC PVC</t>
  </si>
  <si>
    <t>1 1/4"x3/4" PVC SCH40 RED. BUSHING MPTxFPT WHITE XIRTEC PVC</t>
  </si>
  <si>
    <t>1 1/4"x1" PVC SCH40 RED. BUSHING MPTxFPT WHITE XIRTEC PVC</t>
  </si>
  <si>
    <t>1 1/2"x1/2" PVC SCH40 RED. BUSHING MPTxFPT WHITE XIRTEC PVC</t>
  </si>
  <si>
    <t>1 1/2"x3/4" PVC SCH40 RED. BUSHING MPTxFPT WHITE XIRTEC PVC</t>
  </si>
  <si>
    <t>1 1/2"x1" PVC SCH40 RED. BUSHING MPTxFPT WHITE XIRTEC PVC</t>
  </si>
  <si>
    <t>1 1/2"x1 1/4" PVC SCH40 RED. BUSHING MPTxFPT WHITE XIRTEC PVC</t>
  </si>
  <si>
    <t>2"x1" PVC SCH40 RED. BUSHING MPTxFPT WHITE XIRTEC PVC</t>
  </si>
  <si>
    <t>2"x1 1/4" PVC SCH40 RED. BUSHING MPTxFPT WHITE XIRTEC PVC</t>
  </si>
  <si>
    <t>2"x1 1/2" PVC SCH40 RED. BUSHING MPTxFPT WHITE XIRTEC PVC</t>
  </si>
  <si>
    <t>2 1/2"x2" PVC SCH40 RED. BUSHING MPTxFPT WHITE XIRTEC PVC</t>
  </si>
  <si>
    <t>3"x2" PVC SCH40 RED. BUSHING MPTxFPT WHITE XIRTEC PVC</t>
  </si>
  <si>
    <t>3"x2 1/2" PVC SCH40 RED. BUSHING MPTxFPT WHITE XIRTEC PVC</t>
  </si>
  <si>
    <t>3/8" PVC SCH40 CAP SOC WHITE XIRTEC PVC</t>
  </si>
  <si>
    <t>1/2" PVC SCH40 CAP SOC WHITE XIRTEC PVC</t>
  </si>
  <si>
    <t>3/4" PVC SCH40 CAP SOC WHITE XIRTEC PVC</t>
  </si>
  <si>
    <t>1" PVC SCH40 CAP SOC WHITE XIRTEC PVC</t>
  </si>
  <si>
    <t>1 1/4" PVC SCH40 CAP SOC WHITE XIRTEC PVC</t>
  </si>
  <si>
    <t>1 1/2" PVC SCH40 CAP SOC WHITE XIRTEC PVC</t>
  </si>
  <si>
    <t>2" PVC SCH40 CAP SOC WHITE XIRTEC PVC</t>
  </si>
  <si>
    <t>2 1/2" PVC SCH40 CAP SOC WHITE XIRTEC PVC</t>
  </si>
  <si>
    <t>3" PVC SCH40 CAP SOC WHITE XIRTEC PVC</t>
  </si>
  <si>
    <t>4" PVC SCH40 CAP SOC WHITE XIRTEC PVC</t>
  </si>
  <si>
    <t>5" PVC SCH40 CAP SOC WHITE XIRTEC PVC</t>
  </si>
  <si>
    <t>6" PVC SCH40 CAP SOC WHITE XIRTEC PVC</t>
  </si>
  <si>
    <t>8" PVC SCH40 CAP SOC WHITE XIRTEC PVC</t>
  </si>
  <si>
    <t>10" PVC SCH40 CAP SOC WHITE XIRTEC PVC</t>
  </si>
  <si>
    <t>12" PVC SCH40 CAP SOC WHITE XIRTEC PVC</t>
  </si>
  <si>
    <t>447100F</t>
  </si>
  <si>
    <t>10" PVC SCH40 CAP HUB FABXIRTEC PVC</t>
  </si>
  <si>
    <t>447120F</t>
  </si>
  <si>
    <t>12" PVC SCH40 CAP HUB FABXIRTEC PVC</t>
  </si>
  <si>
    <t>447140F</t>
  </si>
  <si>
    <t>14" PVC SCH40 CAP HUB FABXIRTEC PVC</t>
  </si>
  <si>
    <t>447160F</t>
  </si>
  <si>
    <t>16" PVC SCH40 CAP HUB FABXIRTEC PVC</t>
  </si>
  <si>
    <t>447180F</t>
  </si>
  <si>
    <t>18" PVC SCH40 CAP HUB FABXIRTEC PVC</t>
  </si>
  <si>
    <t>447200F</t>
  </si>
  <si>
    <t>20" PVC SCH40 CAP HUB FABXIRTEC PVC</t>
  </si>
  <si>
    <t>447240F</t>
  </si>
  <si>
    <t>24" PVC SCH40 CAP HUB FABXIRTEC PVC</t>
  </si>
  <si>
    <t>3/8" PVC SCH40 CAP FPT WHITE XIRTEC PVC</t>
  </si>
  <si>
    <t>1/2" PVC SCH40 CAP FPT WHITE XIRTEC PVC</t>
  </si>
  <si>
    <t>3/4" PVC SCH40 CAP FPT WHITE XIRTEC PVC</t>
  </si>
  <si>
    <t>1" PVC SCH40 CAP FPT WHITE XIRTEC PVC</t>
  </si>
  <si>
    <t>1 1/4" PVC SCH40 CAP FPT WHITE XIRTEC PVC</t>
  </si>
  <si>
    <t>1 1/2" PVC SCH40 CAP FPT WHITE XIRTEC PVC</t>
  </si>
  <si>
    <t>2" PVC SCH40 CAP FPT WHITE XIRTEC PVC</t>
  </si>
  <si>
    <t>2 1/2" PVC SCH40 CAP FPT WHITE XIRTEC PVC</t>
  </si>
  <si>
    <t>3" PVC SCH40 CAP FPT WHITE XIRTEC PVC</t>
  </si>
  <si>
    <t>4" PVC SCH40 CAP FPT WHITE XIRTEC PVC</t>
  </si>
  <si>
    <t>5" PVC SCH40 CAP FPT WHITE XIRTEC PVC</t>
  </si>
  <si>
    <t>6" PVC SCH40 CAP FPT WHITE XIRTEC PVC</t>
  </si>
  <si>
    <t>3/8" PVC SCH40 PLUG SP WHITE XIRTEC PVC</t>
  </si>
  <si>
    <t>1/2" PVC SCH40 PLUG SP WHITE XIRTEC PVC</t>
  </si>
  <si>
    <t>3/4" PVC SCH40 PLUG SP WHITE XIRTEC PVC</t>
  </si>
  <si>
    <t>1" PVC SCH40 PLUG SP WHITE XIRTEC PVC</t>
  </si>
  <si>
    <t>1 1/4" PVC SCH40 PLUG SP WHITE XIRTEC PVC</t>
  </si>
  <si>
    <t>1 1/2" PVC SCH40 PLUG SP WHITE XIRTEC PVC</t>
  </si>
  <si>
    <t>2" PVC SCH40 PLUG SP WHITE XIRTEC PVC</t>
  </si>
  <si>
    <t>2 1/2" PVC SCH40 PLUG SP WHITE XIRTEC PVC</t>
  </si>
  <si>
    <t>3" PVC SCH40 PLUG SP WHITE XIRTEC PVC</t>
  </si>
  <si>
    <t>4" PVC SCH40 PLUG SP WHITE XIRTEC PVC</t>
  </si>
  <si>
    <t>449060F</t>
  </si>
  <si>
    <t>6" PVC SCH40 PLUG SP FAB XIRTEC PVC</t>
  </si>
  <si>
    <t>449080F</t>
  </si>
  <si>
    <t>8" PVC SCH40 PLUG SP FAB XIRTEC PVC</t>
  </si>
  <si>
    <t>449100F</t>
  </si>
  <si>
    <t>10" PVC SCH40 PLUG SP FABXIRTEC PVC</t>
  </si>
  <si>
    <t>449120F</t>
  </si>
  <si>
    <t>12" PVC SCH40 PLUG SP FABXIRTEC PVC</t>
  </si>
  <si>
    <t>449140F</t>
  </si>
  <si>
    <t>14" PVC SCH40 PLUG SP FABXIRTEC PVC</t>
  </si>
  <si>
    <t>449160F</t>
  </si>
  <si>
    <t>16" PVC SCH40 PLUG SP FABXIRTEC PVC</t>
  </si>
  <si>
    <t>449180F</t>
  </si>
  <si>
    <t>18" PVC SCH40 PLUG SP FABXIRTEC PVC</t>
  </si>
  <si>
    <t>449200F</t>
  </si>
  <si>
    <t>20" PVC SCH40 PLUG SP FABXIRTEC PVC</t>
  </si>
  <si>
    <t>449240F</t>
  </si>
  <si>
    <t>24" PVC SCH40 PLUG SP FABXIRTEC PVC</t>
  </si>
  <si>
    <t>3/8" PVC SCH40 PLUG MPT WHITE XIRTEC PVC</t>
  </si>
  <si>
    <t>1/2" PVC SCH40 PLUG MPT WHITE XIRTEC PVC</t>
  </si>
  <si>
    <t>3/4" PVC SCH40 PLUG MPT WHITE XIRTEC PVC</t>
  </si>
  <si>
    <t>1" PVC SCH40 PLUG MPT WHITE XIRTEC PVC</t>
  </si>
  <si>
    <t>1 1/4" PVC SCH40 PLUG MPTWHITE XIRTEC PVC</t>
  </si>
  <si>
    <t>1 1/2" PVC SCH40 PLUG MPTWHITE XIRTEC PVC</t>
  </si>
  <si>
    <t>2" PVC SCH40 PLUG MPT WHITE XIRTEC PVC</t>
  </si>
  <si>
    <t>2 1/2" PVC SCH40 PLUG MPTWHITE XIRTEC PVC</t>
  </si>
  <si>
    <t>3" PVC SCH40 PLUG MPT WHITE XIRTEC PVC</t>
  </si>
  <si>
    <t>4" PVC SCH40 PLUG MPT WHITE XIRTEC PVC</t>
  </si>
  <si>
    <t>6" PVC SCH40 PLUG MPT WHITE XIRTEC PVC</t>
  </si>
  <si>
    <t>1/2" PVC SCH40 UNION SOCxSOC WHITE W/ EPDM GSKT XIRTEC PVC</t>
  </si>
  <si>
    <t>3/4" PVC SCH40 UNION SOCxSOC WHITE W/ EPDM GSKT XIRTEC PVC</t>
  </si>
  <si>
    <t>1" PVC SCH40 UNION SOCxSOC WHITE W/ EPDM GSKT XIRTEC PVC</t>
  </si>
  <si>
    <t>1 1/4" PVC SCH40 UNION SOCxSOC WHITE W/ EPDM GSKT XIRTEC PVC</t>
  </si>
  <si>
    <t>1 1/2" PVC SCH40 UNION SOCxSOC WHITE W/ EPDM GSKT XIRTEC PVC</t>
  </si>
  <si>
    <t>2" PVC SCH40 UNION SOCxSOC WHITE W/ EPDM GSKT XIRTEC PVC</t>
  </si>
  <si>
    <t>1/2" PVC SCH40 UNION SOCxSOC WHITE W/ BUNA GSKT XIRTEC PVC</t>
  </si>
  <si>
    <t>3/4" PVC SCH40 UNION SOCxSOC WHITE W/ BUNA GSKT XIRTEC PVC</t>
  </si>
  <si>
    <t>1" PVC SCH40 UNION SOCxSOC WHITE W/ BUNA GSKT XIRTEC PVC</t>
  </si>
  <si>
    <t>1 1/4" PVC SCH40 UNION SOCxSOC WHITE W/ BUNA GSKT XIRTEC PVC</t>
  </si>
  <si>
    <t>1 1/2" PVC SCH40 UNION SOCxSOC WHITE W/ BUNA GSKT XIRTEC PVC</t>
  </si>
  <si>
    <t>2" PVC SCH40 UNION SOCxSOC WHITE W/ BUNA GSKT XIRTEC PVC</t>
  </si>
  <si>
    <t>1/2" PVC SCH40 UNION FPTxFPT WHITE W/ BUNA GSKT XIRTEC PVC</t>
  </si>
  <si>
    <t>3/4" PVC SCH40 UNION FPTxFPT WHITE W/ BUNA GSKT XIRTEC PVC</t>
  </si>
  <si>
    <t>1" PVC SCH40 UNION FPTxFPT WHITE W/ BUNA GSKT XIRTEC PVC</t>
  </si>
  <si>
    <t>1 1/4" PVC SCH40 UNION FPTxFPT WHITE W/ BUNA GSKT XIRTEC PVC</t>
  </si>
  <si>
    <t>1 1/2" PVC SCH40 UNION FPTxFPT WHITE W/ BUNA GSKT XIRTEC PVC</t>
  </si>
  <si>
    <t>2" PVC SCH40 UNION FPTxFPT WHITE W/ BUNA GSKT XIRTEC PVC</t>
  </si>
  <si>
    <t>1 1/2"x45D PVC SCH40 WYE SOCxSOCxSOC WHITE XIRTEC PVC</t>
  </si>
  <si>
    <t>2"x45D PVC SCH40 WYE SOCxSOCxSOC WHITE XIRTEC PVC</t>
  </si>
  <si>
    <t>3"x45D PVC SCH40 WYE SOCxSOCxSOC WHITE XIRTEC PVC</t>
  </si>
  <si>
    <t>4"x45D PVC SCH40 WYE SOCxSOCxSOC WHITE XIRTEC PVC</t>
  </si>
  <si>
    <t>6"x45D PVC SCH40 WYE SOCxSOCxSOC WHITE XIRTEC PVC</t>
  </si>
  <si>
    <t>6"x4"x45D PVC SCH40 WYE SOCxSOCxSOC WHITE XIRTEC PVC</t>
  </si>
  <si>
    <t>8"x45D PVC SCH40 WYE SOCxSOCxSOC WHITE XIRTEC PVC</t>
  </si>
  <si>
    <t>475080F</t>
  </si>
  <si>
    <t>8" PVC SCH40 WYE HxHxH FAB XIRTEC PVC</t>
  </si>
  <si>
    <t>475100F</t>
  </si>
  <si>
    <t>10" PVC SCH40 WYE HxHxH FAB XIRTEC PVC</t>
  </si>
  <si>
    <t>475120F</t>
  </si>
  <si>
    <t>12" PVC SCH40 WYE HxHxH FAB XIRTEC PVC</t>
  </si>
  <si>
    <t>475140F</t>
  </si>
  <si>
    <t>14" PVC SCH40 WYE HxHxH FAB XIRTEC PVC</t>
  </si>
  <si>
    <t>475160F</t>
  </si>
  <si>
    <t>16" PVC SCH40 WYE HxHxH FAB XIRTEC PVC</t>
  </si>
  <si>
    <t>475180F</t>
  </si>
  <si>
    <t>18" PVC SCH40 WYE HxHxH FAB XIRTEC PVC</t>
  </si>
  <si>
    <t>475200F</t>
  </si>
  <si>
    <t>20" PVC SCH40 WYE HxHxH FAB XIRTEC PVC</t>
  </si>
  <si>
    <t>475240F</t>
  </si>
  <si>
    <t>24" PVC SCH40 WYE HxHxH FAB XIRTEC PVC</t>
  </si>
  <si>
    <t>475582F</t>
  </si>
  <si>
    <t>8"x4" PVC SCH40 WYE HxHxHFAB XIRTEC PVC</t>
  </si>
  <si>
    <t>475585F</t>
  </si>
  <si>
    <t>8"x6" PVC SCH40 WYE HxHxHFAB XIRTEC PVC</t>
  </si>
  <si>
    <t>475624F</t>
  </si>
  <si>
    <t>10"x4" PVC SCH40 WYE HxHxH FAB XIRTEC PVC</t>
  </si>
  <si>
    <t>475626F</t>
  </si>
  <si>
    <t>10"x6" PVC SCH40 WYE HxHxH FAB XIRTEC PVC</t>
  </si>
  <si>
    <t>475628F</t>
  </si>
  <si>
    <t>10"x8" PVC SCH40 WYE HxHxH FAB XIRTEC PVC</t>
  </si>
  <si>
    <t>475664F</t>
  </si>
  <si>
    <t>12"x4" PVC SCH40 WYE HxHxH FAB XIRTEC PVC</t>
  </si>
  <si>
    <t>475666F</t>
  </si>
  <si>
    <t>12"x6" PVC SCH40 WYE HxHxH FAB XIRTEC PVC</t>
  </si>
  <si>
    <t>475668F</t>
  </si>
  <si>
    <t>12"x8" PVC SCH40 WYE HxHxH FAB XIRTEC PVC</t>
  </si>
  <si>
    <t>475670F</t>
  </si>
  <si>
    <t>12"x10" PVC SCH40 WYE HxHxH FAB XIRTEC PVC</t>
  </si>
  <si>
    <t>475694F</t>
  </si>
  <si>
    <t>14"x4" PVC SCH40 WYE HxHxH FAB XIRTEC PVC</t>
  </si>
  <si>
    <t>475696F</t>
  </si>
  <si>
    <t>14"x6" PVC SCH40 WYE HxHxH FAB XIRTEC PVC</t>
  </si>
  <si>
    <t>475698F</t>
  </si>
  <si>
    <t>14"x8" PVC SCH40 WYE HxHxH FAB XIRTEC PVC</t>
  </si>
  <si>
    <t>475700F</t>
  </si>
  <si>
    <t>14"x10" PVC SCH40 WYE HxHxH FAB XIRTEC PVC</t>
  </si>
  <si>
    <t>475702F</t>
  </si>
  <si>
    <t>14"x12" PVC SCH40 WYE HxHxH FAB XIRTEC PVC</t>
  </si>
  <si>
    <t>475754F</t>
  </si>
  <si>
    <t>16"x4" PVC SCH40 WYE HxHxH FAB XIRTEC PVC</t>
  </si>
  <si>
    <t>475756F</t>
  </si>
  <si>
    <t>16"x6" PVC SCH40 WYE HxHxH FAB XIRTEC PVC</t>
  </si>
  <si>
    <t>475758F</t>
  </si>
  <si>
    <t>16"x8" PVC SCH40 WYE HxHxH FAB XIRTEC PVC</t>
  </si>
  <si>
    <t>475760F</t>
  </si>
  <si>
    <t>16"x10" PVC SCH40 WYE HxHxH FAB XIRTEC PVC</t>
  </si>
  <si>
    <t>475762F</t>
  </si>
  <si>
    <t>16"x12" PVC SCH40 WYE HxHxH FAB XIRTEC PVC</t>
  </si>
  <si>
    <t>475764F</t>
  </si>
  <si>
    <t>16"x14" PVC SCH40 WYE HxHxH FAB XIRTEC PVC</t>
  </si>
  <si>
    <t>475784F</t>
  </si>
  <si>
    <t>18"x4" PVC SCH40 WYE HxHxH FAB XIRTEC PVC</t>
  </si>
  <si>
    <t>475786F</t>
  </si>
  <si>
    <t>18"x6" PVC SCH40 WYE HxHxH FAB XIRTEC PVC</t>
  </si>
  <si>
    <t>475788F</t>
  </si>
  <si>
    <t>18"x8" PVC SCH40 WYE HxHxH FAB XIRTEC PVC</t>
  </si>
  <si>
    <t>475790F</t>
  </si>
  <si>
    <t>18"x10" PVC SCH40 WYE HxHxH FAB XIRTEC PVC</t>
  </si>
  <si>
    <t>475792F</t>
  </si>
  <si>
    <t>18"x12" PVC SCH40 WYE HxHxH FAB XIRTEC PVC</t>
  </si>
  <si>
    <t>475794F</t>
  </si>
  <si>
    <t>18"x14" PVC SCH40 WYE HxHxH FAB XIRTEC PVC</t>
  </si>
  <si>
    <t>475796F</t>
  </si>
  <si>
    <t>18"x16" PVC SCH40 WYE HxHxH FAB XIRTEC PVC</t>
  </si>
  <si>
    <t>475814F</t>
  </si>
  <si>
    <t>20"x4" PVC SCH40 WYE HxHxH FAB XIRTEC PVC</t>
  </si>
  <si>
    <t>475816F</t>
  </si>
  <si>
    <t>20"x6" PVC SCH40 WYE HxHxH FAB XIRTEC PVC</t>
  </si>
  <si>
    <t>475818F</t>
  </si>
  <si>
    <t>20"x8" PVC SCH40 WYE HxHxH FAB XIRTEC PVC</t>
  </si>
  <si>
    <t>475820F</t>
  </si>
  <si>
    <t>20"x10" PVC SCH40 WYE HxHxH FAB XIRTEC PVC</t>
  </si>
  <si>
    <t>475822F</t>
  </si>
  <si>
    <t>20"x12" PVC SCH40 WYE HxHxH FAB XIRTEC PVC</t>
  </si>
  <si>
    <t>475824F</t>
  </si>
  <si>
    <t>20"x14" PVC SCH40 WYE HxHxH FAB XIRTEC PVC</t>
  </si>
  <si>
    <t>475826F</t>
  </si>
  <si>
    <t>20"x16" PVC SCH40 WYE HxHxH FAB XIRTEC PVC</t>
  </si>
  <si>
    <t>475828F</t>
  </si>
  <si>
    <t>20"x18" PVC SCH40 WYE HxHxH FAB XIRTEC PVC</t>
  </si>
  <si>
    <t>475904F</t>
  </si>
  <si>
    <t>24"x4" PVC SCH40 WYE HxHxH FAB XIRTEC PVC</t>
  </si>
  <si>
    <t>475906F</t>
  </si>
  <si>
    <t>24"x6" PVC SCH40 WYE HxHxH FAB XIRTEC PVC</t>
  </si>
  <si>
    <t>475908F</t>
  </si>
  <si>
    <t>24"x8" PVC SCH40 WYE HxHxH FAB XIRTEC PVC</t>
  </si>
  <si>
    <t>475910F</t>
  </si>
  <si>
    <t>24"x10" PVC SCH40 WYE HxHxH FAB XIRTEC PVC</t>
  </si>
  <si>
    <t>475912F</t>
  </si>
  <si>
    <t>24"x12" PVC SCH40 WYE HxHxH FAB XIRTEC PVC</t>
  </si>
  <si>
    <t>475914F</t>
  </si>
  <si>
    <t>24"x14" PVC SCH40 WYE HxHxH FAB XIRTEC PVC</t>
  </si>
  <si>
    <t>475916F</t>
  </si>
  <si>
    <t>24"x16" PVC SCH40 WYE HxHxH FAB XIRTEC PVC</t>
  </si>
  <si>
    <t>475918F</t>
  </si>
  <si>
    <t>24"x18" PVC SCH40 WYE HxHxH FAB XIRTEC PVC</t>
  </si>
  <si>
    <t>475920F</t>
  </si>
  <si>
    <t>24"x20" PVC SCH40 WYE HxHxH FAB XIRTEC PVC</t>
  </si>
  <si>
    <t>2 1/2"x3/4" PVC SCH40 SADDLE PIPE O.D.xSOC WHITE XIRTEC PVC</t>
  </si>
  <si>
    <t>3"x1 1/4" PVC SCH40 SADDLE PIPE O.D.xSOC WHITE XIRTEC PVC</t>
  </si>
  <si>
    <t>3"x1 1/2" PVC SCH40 SADDLE PIPE O.D.xSOC WHITE XIRTEC PVC</t>
  </si>
  <si>
    <t>3"x2" PVC SCH40 SADDLE PIPE O.D.xSOC WHITE XIRTEC PVC</t>
  </si>
  <si>
    <t>4"x1 1/4" PVC SCH40 SADDLE PIPE O.D.xSOC WHITE XIRTEC PVC</t>
  </si>
  <si>
    <t>4"x1 1/2" PVC SCH40 SADDLE PIPE O.D.xSOC WHITE XIRTEC PVC</t>
  </si>
  <si>
    <t>4"x2" PVC SCH40 SADDLE PIPE O.D.xSOC WHITE XIRTEC PVC</t>
  </si>
  <si>
    <t>5" X 1 1/2" S40 SADDLE XIRTEC PVC WHT</t>
  </si>
  <si>
    <t>6"x1 1/4" PVC SCH40 SADDLE PIPE O.D.xSOC WHITE XIRTEC PVC</t>
  </si>
  <si>
    <t>6"x1 1/2" PVC SCH40 SADDLE PIPE O.D.xSOC WHITE XIRTEC PVC</t>
  </si>
  <si>
    <t>6"x2" PVC SCH40 SADDLE PIPE O.D.xSOC WHITE XIRTEC PVC</t>
  </si>
  <si>
    <t>6"x4" PVC SCH40 SADDLE PIPE O.D.xSOC WHITE XIRTEC PVC</t>
  </si>
  <si>
    <t>8"x1 1/4" PVC SCH40 SADDLE PIPE O.D.xSOC WHITE XIRTEC PVC</t>
  </si>
  <si>
    <t>8"x1 1/2" PVC SCH40 SADDLE PIPE O.D.xSOC WHITE XIRTEC PVC</t>
  </si>
  <si>
    <t>8"x2" PVC SCH40 SADDLE PIPE O.D.xSOC WHITE XIRTEC PVC</t>
  </si>
  <si>
    <t>8"x4" PVC SCH40 SADDLE PIPE O.D.xSOC WHITE XIRTEC PVC</t>
  </si>
  <si>
    <t>10"x4" PVC SCH40 SADDLE PIPE O.D.xSOC WHITE XIRTEC PVC</t>
  </si>
  <si>
    <t>2 1/2" X 3/4" S40 SADDLE XIRTEC PVC WHT</t>
  </si>
  <si>
    <t>3"x1 1/2" PVC SCH40 SADDLE PIPE O.D.xFPT WHITE XIRTEC PVC</t>
  </si>
  <si>
    <t>4"x1 1/2" PVC SCH40 SADDLE PIPE O.D.xFPT WHITE XIRTEC PVC</t>
  </si>
  <si>
    <t>5"x2" PVC SCH40 SADDLE PIPE O.D.xFPT WHITE XIRTEC PVC</t>
  </si>
  <si>
    <t>6"x1 1/2" PVC SCH40 SADDLE PIPE O.D.xFPT WHITE XIRTEC PVC</t>
  </si>
  <si>
    <t>6" X 4" S40 SADDLE XIRTECPVC WHT</t>
  </si>
  <si>
    <t>8" X 1 1/2" S40 SADDLE XIRTEC PVC WHT</t>
  </si>
  <si>
    <t>8"x4" PVC SCH40 SADDLE PIPE O.D.xFPT WHITE XIRTEC PVC</t>
  </si>
  <si>
    <t>10"x4" PVC SCH40 SADDLE PIPE O.D.xFPT WHITE XIRTEC PVC</t>
  </si>
  <si>
    <t>PVC40WMIU030122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</si>
</sst>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5"/>
  <sheetViews>
    <sheetView tabSelected="1" zoomScaleNormal="100" workbookViewId="0"/>
  </sheetViews>
  <sheetFormatPr defaultRowHeight="15" x14ac:dyDescent="0.25"/>
  <cols>
    <col min="1" max="1" width="19.28515625" style="1" bestFit="1" customWidth="1"/>
    <col min="2" max="2" width="7.42578125" style="1" customWidth="1"/>
    <col min="3" max="3" width="13.140625" style="1" bestFit="1" customWidth="1"/>
    <col min="4" max="4" width="17.28515625" style="1" bestFit="1" customWidth="1"/>
    <col min="5" max="5" width="50.7109375" customWidth="1"/>
    <col min="6" max="6" width="13.7109375" style="3" customWidth="1"/>
    <col min="7" max="7" width="4.85546875" style="1" customWidth="1"/>
    <col min="8" max="8" width="9.7109375" style="1" customWidth="1"/>
    <col min="9" max="9" width="13.42578125" style="1" bestFit="1" customWidth="1"/>
    <col min="10" max="10" width="13.28515625" style="1" bestFit="1" customWidth="1"/>
    <col min="11" max="11" width="10.42578125" style="1" bestFit="1" customWidth="1"/>
    <col min="12" max="12" width="10.28515625" style="1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1" t="s">
        <v>1318</v>
      </c>
      <c r="B2" s="1" t="str">
        <f>("035775")</f>
        <v>035775</v>
      </c>
      <c r="C2" s="1" t="str">
        <f>("622454357754")</f>
        <v>622454357754</v>
      </c>
      <c r="D2" s="1">
        <v>401005</v>
      </c>
      <c r="E2" t="s">
        <v>12</v>
      </c>
      <c r="F2" s="3">
        <v>1.8829787234042554</v>
      </c>
      <c r="G2" s="1" t="s">
        <v>13</v>
      </c>
      <c r="H2" s="2">
        <v>44621</v>
      </c>
      <c r="I2" s="1">
        <v>0.04</v>
      </c>
      <c r="J2" s="1">
        <v>8.7999999999999995E-2</v>
      </c>
      <c r="K2" s="1">
        <v>50</v>
      </c>
      <c r="L2" s="1" t="s">
        <v>14</v>
      </c>
    </row>
    <row r="3" spans="1:12" x14ac:dyDescent="0.25">
      <c r="A3" s="1" t="s">
        <v>1318</v>
      </c>
      <c r="B3" s="1" t="str">
        <f>("035776")</f>
        <v>035776</v>
      </c>
      <c r="C3" s="1" t="str">
        <f>("622454357761")</f>
        <v>622454357761</v>
      </c>
      <c r="D3" s="1">
        <v>401007</v>
      </c>
      <c r="E3" t="s">
        <v>15</v>
      </c>
      <c r="F3" s="3">
        <v>2.1489361702127661</v>
      </c>
      <c r="G3" s="1" t="s">
        <v>13</v>
      </c>
      <c r="H3" s="2">
        <v>44621</v>
      </c>
      <c r="I3" s="1">
        <v>4.3999999999999997E-2</v>
      </c>
      <c r="J3" s="1">
        <v>9.7000000000000003E-2</v>
      </c>
      <c r="K3" s="1">
        <v>45</v>
      </c>
      <c r="L3" s="1" t="s">
        <v>14</v>
      </c>
    </row>
    <row r="4" spans="1:12" x14ac:dyDescent="0.25">
      <c r="A4" s="1" t="s">
        <v>1318</v>
      </c>
      <c r="B4" s="1" t="str">
        <f>("035777")</f>
        <v>035777</v>
      </c>
      <c r="C4" s="1" t="str">
        <f>("622454357778")</f>
        <v>622454357778</v>
      </c>
      <c r="D4" s="1">
        <v>401010</v>
      </c>
      <c r="E4" t="s">
        <v>16</v>
      </c>
      <c r="F4" s="3">
        <v>4.0744680851063837</v>
      </c>
      <c r="G4" s="1" t="s">
        <v>13</v>
      </c>
      <c r="H4" s="2">
        <v>44621</v>
      </c>
      <c r="I4" s="1">
        <v>0.105</v>
      </c>
      <c r="J4" s="1">
        <v>0.23100000000000001</v>
      </c>
      <c r="K4" s="1">
        <v>50</v>
      </c>
      <c r="L4" s="1" t="s">
        <v>14</v>
      </c>
    </row>
    <row r="5" spans="1:12" x14ac:dyDescent="0.25">
      <c r="A5" s="1" t="s">
        <v>1318</v>
      </c>
      <c r="B5" s="1" t="str">
        <f>("035778")</f>
        <v>035778</v>
      </c>
      <c r="C5" s="1" t="str">
        <f>("622454357785")</f>
        <v>622454357785</v>
      </c>
      <c r="D5" s="1">
        <v>401012</v>
      </c>
      <c r="E5" t="s">
        <v>17</v>
      </c>
      <c r="F5" s="3">
        <v>6.3510638297872344</v>
      </c>
      <c r="G5" s="1" t="s">
        <v>13</v>
      </c>
      <c r="H5" s="2">
        <v>44621</v>
      </c>
      <c r="I5" s="1">
        <v>0.10199999999999999</v>
      </c>
      <c r="J5" s="1">
        <v>0.22500000000000001</v>
      </c>
      <c r="K5" s="1">
        <v>25</v>
      </c>
      <c r="L5" s="1" t="s">
        <v>14</v>
      </c>
    </row>
    <row r="6" spans="1:12" x14ac:dyDescent="0.25">
      <c r="A6" s="1" t="s">
        <v>1318</v>
      </c>
      <c r="B6" s="1" t="str">
        <f>("035779")</f>
        <v>035779</v>
      </c>
      <c r="C6" s="1" t="str">
        <f>("622454357792")</f>
        <v>622454357792</v>
      </c>
      <c r="D6" s="1">
        <v>401015</v>
      </c>
      <c r="E6" t="s">
        <v>18</v>
      </c>
      <c r="F6" s="3">
        <v>7.7234042553191493</v>
      </c>
      <c r="G6" s="1" t="s">
        <v>13</v>
      </c>
      <c r="H6" s="2">
        <v>44621</v>
      </c>
      <c r="I6" s="1">
        <v>0.13500000000000001</v>
      </c>
      <c r="J6" s="1">
        <v>0.29799999999999999</v>
      </c>
      <c r="K6" s="1">
        <v>20</v>
      </c>
      <c r="L6" s="1" t="s">
        <v>14</v>
      </c>
    </row>
    <row r="7" spans="1:12" x14ac:dyDescent="0.25">
      <c r="A7" s="1" t="s">
        <v>1318</v>
      </c>
      <c r="B7" s="1" t="str">
        <f>("035780")</f>
        <v>035780</v>
      </c>
      <c r="C7" s="1" t="str">
        <f>("622454357808")</f>
        <v>622454357808</v>
      </c>
      <c r="D7" s="1">
        <v>401020</v>
      </c>
      <c r="E7" t="s">
        <v>19</v>
      </c>
      <c r="F7" s="3">
        <v>11.234042553191491</v>
      </c>
      <c r="G7" s="1" t="s">
        <v>13</v>
      </c>
      <c r="H7" s="2">
        <v>44621</v>
      </c>
      <c r="I7" s="1">
        <v>0.22800000000000001</v>
      </c>
      <c r="J7" s="1">
        <v>0.503</v>
      </c>
      <c r="K7" s="1">
        <v>25</v>
      </c>
      <c r="L7" s="1" t="s">
        <v>14</v>
      </c>
    </row>
    <row r="8" spans="1:12" x14ac:dyDescent="0.25">
      <c r="A8" s="1" t="s">
        <v>1318</v>
      </c>
      <c r="B8" s="1" t="str">
        <f>("035781")</f>
        <v>035781</v>
      </c>
      <c r="C8" s="1" t="str">
        <f>("622454357815")</f>
        <v>622454357815</v>
      </c>
      <c r="D8" s="1">
        <v>401025</v>
      </c>
      <c r="E8" t="s">
        <v>20</v>
      </c>
      <c r="F8" s="3">
        <v>37.042553191489361</v>
      </c>
      <c r="G8" s="1" t="s">
        <v>13</v>
      </c>
      <c r="H8" s="2">
        <v>44621</v>
      </c>
      <c r="I8" s="1">
        <v>0.438</v>
      </c>
      <c r="J8" s="1">
        <v>0.96599999999999997</v>
      </c>
      <c r="K8" s="1">
        <v>10</v>
      </c>
      <c r="L8" s="1" t="s">
        <v>14</v>
      </c>
    </row>
    <row r="9" spans="1:12" x14ac:dyDescent="0.25">
      <c r="A9" s="1" t="s">
        <v>1318</v>
      </c>
      <c r="B9" s="1" t="str">
        <f>("035782")</f>
        <v>035782</v>
      </c>
      <c r="C9" s="1" t="str">
        <f>("622454357822")</f>
        <v>622454357822</v>
      </c>
      <c r="D9" s="1">
        <v>401030</v>
      </c>
      <c r="E9" t="s">
        <v>21</v>
      </c>
      <c r="F9" s="3">
        <v>48.680851063829785</v>
      </c>
      <c r="G9" s="1" t="s">
        <v>13</v>
      </c>
      <c r="H9" s="2">
        <v>44621</v>
      </c>
      <c r="I9" s="1">
        <v>0.60799999999999998</v>
      </c>
      <c r="J9" s="1">
        <v>1.34</v>
      </c>
      <c r="K9" s="1">
        <v>10</v>
      </c>
      <c r="L9" s="1" t="s">
        <v>14</v>
      </c>
    </row>
    <row r="10" spans="1:12" x14ac:dyDescent="0.25">
      <c r="A10" s="1" t="s">
        <v>1318</v>
      </c>
      <c r="B10" s="1" t="str">
        <f>("035783")</f>
        <v>035783</v>
      </c>
      <c r="C10" s="1" t="str">
        <f>("622454357839")</f>
        <v>622454357839</v>
      </c>
      <c r="D10" s="1">
        <v>401040</v>
      </c>
      <c r="E10" t="s">
        <v>22</v>
      </c>
      <c r="F10" s="3">
        <v>88.074468085106389</v>
      </c>
      <c r="G10" s="1" t="s">
        <v>13</v>
      </c>
      <c r="H10" s="2">
        <v>44621</v>
      </c>
      <c r="I10" s="1">
        <v>0.99</v>
      </c>
      <c r="J10" s="1">
        <v>2.1829999999999998</v>
      </c>
      <c r="K10" s="1">
        <v>5</v>
      </c>
      <c r="L10" s="1" t="s">
        <v>14</v>
      </c>
    </row>
    <row r="11" spans="1:12" x14ac:dyDescent="0.25">
      <c r="A11" s="1" t="s">
        <v>1318</v>
      </c>
      <c r="B11" s="1" t="str">
        <f>("035784")</f>
        <v>035784</v>
      </c>
      <c r="C11" s="1" t="str">
        <f>("622454357846")</f>
        <v>622454357846</v>
      </c>
      <c r="D11" s="1">
        <v>401050</v>
      </c>
      <c r="E11" t="s">
        <v>23</v>
      </c>
      <c r="F11" s="3">
        <v>212.63829787234044</v>
      </c>
      <c r="G11" s="1" t="s">
        <v>13</v>
      </c>
      <c r="H11" s="2">
        <v>44621</v>
      </c>
      <c r="I11" s="1">
        <v>1.95</v>
      </c>
      <c r="J11" s="1">
        <v>4.2990000000000004</v>
      </c>
      <c r="K11" s="1">
        <v>5</v>
      </c>
      <c r="L11" s="1" t="s">
        <v>14</v>
      </c>
    </row>
    <row r="12" spans="1:12" x14ac:dyDescent="0.25">
      <c r="A12" s="1" t="s">
        <v>1318</v>
      </c>
      <c r="B12" s="1" t="str">
        <f>("035785")</f>
        <v>035785</v>
      </c>
      <c r="C12" s="1" t="str">
        <f>("622454357853")</f>
        <v>622454357853</v>
      </c>
      <c r="D12" s="1">
        <v>401060</v>
      </c>
      <c r="E12" t="s">
        <v>24</v>
      </c>
      <c r="F12" s="3">
        <v>296.35106382978722</v>
      </c>
      <c r="G12" s="1" t="s">
        <v>13</v>
      </c>
      <c r="H12" s="2">
        <v>44621</v>
      </c>
      <c r="I12" s="1">
        <v>2.6720000000000002</v>
      </c>
      <c r="J12" s="1">
        <v>5.891</v>
      </c>
      <c r="K12" s="1">
        <v>4</v>
      </c>
      <c r="L12" s="1" t="s">
        <v>14</v>
      </c>
    </row>
    <row r="13" spans="1:12" x14ac:dyDescent="0.25">
      <c r="A13" s="1" t="s">
        <v>1318</v>
      </c>
      <c r="B13" s="1" t="str">
        <f>("035786")</f>
        <v>035786</v>
      </c>
      <c r="C13" s="1" t="str">
        <f>("622454357860")</f>
        <v>622454357860</v>
      </c>
      <c r="D13" s="1">
        <v>401080</v>
      </c>
      <c r="E13" t="s">
        <v>25</v>
      </c>
      <c r="F13" s="3">
        <v>687.32978723404267</v>
      </c>
      <c r="G13" s="1" t="s">
        <v>13</v>
      </c>
      <c r="H13" s="2">
        <v>44621</v>
      </c>
      <c r="I13" s="1">
        <v>5.5250000000000004</v>
      </c>
      <c r="J13" s="1">
        <v>12.180999999999999</v>
      </c>
      <c r="K13" s="1">
        <v>2</v>
      </c>
      <c r="L13" s="1" t="s">
        <v>14</v>
      </c>
    </row>
    <row r="14" spans="1:12" x14ac:dyDescent="0.25">
      <c r="A14" s="1" t="s">
        <v>1318</v>
      </c>
      <c r="B14" s="1" t="str">
        <f>("035930")</f>
        <v>035930</v>
      </c>
      <c r="C14" s="1" t="str">
        <f>("622454359307")</f>
        <v>622454359307</v>
      </c>
      <c r="D14" s="1">
        <v>401100</v>
      </c>
      <c r="E14" t="s">
        <v>26</v>
      </c>
      <c r="F14" s="3">
        <v>2277.4255319148938</v>
      </c>
      <c r="G14" s="1" t="s">
        <v>13</v>
      </c>
      <c r="H14" s="2">
        <v>44621</v>
      </c>
      <c r="I14" s="1">
        <v>11.621</v>
      </c>
      <c r="J14" s="1">
        <v>25.62</v>
      </c>
      <c r="K14" s="1">
        <v>1</v>
      </c>
      <c r="L14" s="1" t="s">
        <v>27</v>
      </c>
    </row>
    <row r="15" spans="1:12" x14ac:dyDescent="0.25">
      <c r="A15" s="1" t="s">
        <v>1318</v>
      </c>
      <c r="B15" s="1" t="str">
        <f>("035931")</f>
        <v>035931</v>
      </c>
      <c r="C15" s="1" t="str">
        <f>("622454359314")</f>
        <v>622454359314</v>
      </c>
      <c r="D15" s="1">
        <v>401120</v>
      </c>
      <c r="E15" t="s">
        <v>28</v>
      </c>
      <c r="F15" s="3">
        <v>3365</v>
      </c>
      <c r="G15" s="1" t="s">
        <v>13</v>
      </c>
      <c r="H15" s="2">
        <v>44621</v>
      </c>
      <c r="I15" s="1">
        <v>17.3</v>
      </c>
      <c r="J15" s="1">
        <v>38.14</v>
      </c>
      <c r="K15" s="1">
        <v>1</v>
      </c>
      <c r="L15" s="1" t="s">
        <v>27</v>
      </c>
    </row>
    <row r="16" spans="1:12" x14ac:dyDescent="0.25">
      <c r="A16" s="1" t="s">
        <v>1318</v>
      </c>
      <c r="B16" s="1" t="str">
        <f>("125101")</f>
        <v>125101</v>
      </c>
      <c r="C16" s="1" t="str">
        <f>("622454459205")</f>
        <v>622454459205</v>
      </c>
      <c r="D16" s="1" t="s">
        <v>29</v>
      </c>
      <c r="E16" t="s">
        <v>30</v>
      </c>
      <c r="F16" s="3">
        <v>1165.8399999999999</v>
      </c>
      <c r="G16" s="1" t="s">
        <v>13</v>
      </c>
      <c r="H16" s="2">
        <v>44621</v>
      </c>
      <c r="I16" s="1">
        <v>14.875999999999999</v>
      </c>
      <c r="J16" s="1">
        <v>32.795999999999999</v>
      </c>
      <c r="L16" s="1" t="s">
        <v>31</v>
      </c>
    </row>
    <row r="17" spans="1:12" x14ac:dyDescent="0.25">
      <c r="A17" s="1" t="s">
        <v>1318</v>
      </c>
      <c r="B17" s="1" t="str">
        <f>("125107")</f>
        <v>125107</v>
      </c>
      <c r="C17" s="1" t="str">
        <f>("622454459267")</f>
        <v>622454459267</v>
      </c>
      <c r="D17" s="1" t="s">
        <v>32</v>
      </c>
      <c r="E17" t="s">
        <v>33</v>
      </c>
      <c r="F17" s="3">
        <v>1642.74</v>
      </c>
      <c r="G17" s="1" t="s">
        <v>13</v>
      </c>
      <c r="H17" s="2">
        <v>44621</v>
      </c>
      <c r="I17" s="1">
        <v>23.36</v>
      </c>
      <c r="J17" s="1">
        <v>51.5</v>
      </c>
      <c r="L17" s="1" t="s">
        <v>31</v>
      </c>
    </row>
    <row r="18" spans="1:12" x14ac:dyDescent="0.25">
      <c r="A18" s="1" t="s">
        <v>1318</v>
      </c>
      <c r="B18" s="1" t="str">
        <f>("125112")</f>
        <v>125112</v>
      </c>
      <c r="C18" s="1" t="str">
        <f>("622454459311")</f>
        <v>622454459311</v>
      </c>
      <c r="D18" s="1" t="s">
        <v>34</v>
      </c>
      <c r="E18" t="s">
        <v>35</v>
      </c>
      <c r="F18" s="3">
        <v>2558.09</v>
      </c>
      <c r="G18" s="1" t="s">
        <v>13</v>
      </c>
      <c r="H18" s="2">
        <v>44621</v>
      </c>
      <c r="I18" s="1">
        <v>16.401</v>
      </c>
      <c r="J18" s="1">
        <v>36.158000000000001</v>
      </c>
      <c r="L18" s="1" t="s">
        <v>31</v>
      </c>
    </row>
    <row r="19" spans="1:12" x14ac:dyDescent="0.25">
      <c r="A19" s="1" t="s">
        <v>1318</v>
      </c>
      <c r="B19" s="1" t="str">
        <f>("125117")</f>
        <v>125117</v>
      </c>
      <c r="C19" s="1" t="str">
        <f>("622454459366")</f>
        <v>622454459366</v>
      </c>
      <c r="D19" s="1" t="s">
        <v>36</v>
      </c>
      <c r="E19" t="s">
        <v>37</v>
      </c>
      <c r="F19" s="3">
        <v>3702.93</v>
      </c>
      <c r="G19" s="1" t="s">
        <v>13</v>
      </c>
      <c r="H19" s="2">
        <v>44621</v>
      </c>
      <c r="I19" s="1">
        <v>42.893999999999998</v>
      </c>
      <c r="J19" s="1">
        <v>94.564999999999998</v>
      </c>
      <c r="L19" s="1" t="s">
        <v>31</v>
      </c>
    </row>
    <row r="20" spans="1:12" x14ac:dyDescent="0.25">
      <c r="A20" s="1" t="s">
        <v>1318</v>
      </c>
      <c r="B20" s="1" t="str">
        <f>("125122")</f>
        <v>125122</v>
      </c>
      <c r="C20" s="1" t="str">
        <f>("622454459410")</f>
        <v>622454459410</v>
      </c>
      <c r="D20" s="1" t="s">
        <v>38</v>
      </c>
      <c r="E20" t="s">
        <v>39</v>
      </c>
      <c r="F20" s="3">
        <v>4498.04</v>
      </c>
      <c r="G20" s="1" t="s">
        <v>13</v>
      </c>
      <c r="H20" s="2">
        <v>44621</v>
      </c>
      <c r="I20" s="1">
        <v>56.475999999999999</v>
      </c>
      <c r="J20" s="1">
        <v>124.508</v>
      </c>
      <c r="L20" s="1" t="s">
        <v>31</v>
      </c>
    </row>
    <row r="21" spans="1:12" x14ac:dyDescent="0.25">
      <c r="A21" s="1" t="s">
        <v>1318</v>
      </c>
      <c r="B21" s="1" t="str">
        <f>("125123")</f>
        <v>125123</v>
      </c>
      <c r="C21" s="1" t="str">
        <f>("622454459427")</f>
        <v>622454459427</v>
      </c>
      <c r="D21" s="1" t="s">
        <v>40</v>
      </c>
      <c r="E21" t="s">
        <v>41</v>
      </c>
      <c r="F21" s="3">
        <v>5481.73</v>
      </c>
      <c r="G21" s="1" t="s">
        <v>13</v>
      </c>
      <c r="H21" s="2">
        <v>44621</v>
      </c>
      <c r="I21" s="1">
        <v>70.906999999999996</v>
      </c>
      <c r="J21" s="1">
        <v>156.32300000000001</v>
      </c>
      <c r="L21" s="1" t="s">
        <v>31</v>
      </c>
    </row>
    <row r="22" spans="1:12" x14ac:dyDescent="0.25">
      <c r="A22" s="1" t="s">
        <v>1318</v>
      </c>
      <c r="B22" s="1" t="str">
        <f>("125124")</f>
        <v>125124</v>
      </c>
      <c r="C22" s="1" t="str">
        <f>("622454459434")</f>
        <v>622454459434</v>
      </c>
      <c r="D22" s="1" t="s">
        <v>42</v>
      </c>
      <c r="E22" t="s">
        <v>43</v>
      </c>
      <c r="F22" s="3">
        <v>7451.36</v>
      </c>
      <c r="G22" s="1" t="s">
        <v>13</v>
      </c>
      <c r="H22" s="2">
        <v>44621</v>
      </c>
      <c r="I22" s="1">
        <v>115.544</v>
      </c>
      <c r="J22" s="1">
        <v>254.73099999999999</v>
      </c>
      <c r="L22" s="1" t="s">
        <v>31</v>
      </c>
    </row>
    <row r="23" spans="1:12" x14ac:dyDescent="0.25">
      <c r="A23" s="1" t="s">
        <v>1318</v>
      </c>
      <c r="B23" s="1" t="str">
        <f>("035789")</f>
        <v>035789</v>
      </c>
      <c r="C23" s="1" t="str">
        <f>("622454357891")</f>
        <v>622454357891</v>
      </c>
      <c r="D23" s="1">
        <v>401074</v>
      </c>
      <c r="E23" t="s">
        <v>44</v>
      </c>
      <c r="F23" s="3">
        <v>4.0319148936170217</v>
      </c>
      <c r="G23" s="1" t="s">
        <v>13</v>
      </c>
      <c r="H23" s="2">
        <v>44621</v>
      </c>
      <c r="I23" s="1">
        <v>4.4999999999999998E-2</v>
      </c>
      <c r="J23" s="1">
        <v>9.9000000000000005E-2</v>
      </c>
      <c r="K23" s="1">
        <v>50</v>
      </c>
      <c r="L23" s="1" t="s">
        <v>14</v>
      </c>
    </row>
    <row r="24" spans="1:12" x14ac:dyDescent="0.25">
      <c r="A24" s="1" t="s">
        <v>1318</v>
      </c>
      <c r="B24" s="1" t="str">
        <f>("035354")</f>
        <v>035354</v>
      </c>
      <c r="C24" s="1" t="str">
        <f>("622454353541")</f>
        <v>622454353541</v>
      </c>
      <c r="D24" s="1">
        <v>401075</v>
      </c>
      <c r="E24" t="s">
        <v>45</v>
      </c>
      <c r="F24" s="3">
        <v>7.4893617021276597</v>
      </c>
      <c r="G24" s="1" t="s">
        <v>13</v>
      </c>
      <c r="H24" s="2">
        <v>44621</v>
      </c>
      <c r="I24" s="1">
        <v>0.05</v>
      </c>
      <c r="J24" s="1">
        <v>0.11</v>
      </c>
      <c r="K24" s="1">
        <v>50</v>
      </c>
      <c r="L24" s="1" t="s">
        <v>14</v>
      </c>
    </row>
    <row r="25" spans="1:12" x14ac:dyDescent="0.25">
      <c r="A25" s="1" t="s">
        <v>1318</v>
      </c>
      <c r="B25" s="1" t="str">
        <f>("035790")</f>
        <v>035790</v>
      </c>
      <c r="C25" s="1" t="str">
        <f>("622454357907")</f>
        <v>622454357907</v>
      </c>
      <c r="D25" s="1">
        <v>401094</v>
      </c>
      <c r="E25" t="s">
        <v>46</v>
      </c>
      <c r="F25" s="3">
        <v>3.6489361702127665</v>
      </c>
      <c r="G25" s="1" t="s">
        <v>13</v>
      </c>
      <c r="H25" s="2">
        <v>44621</v>
      </c>
      <c r="I25" s="1">
        <v>3.5999999999999997E-2</v>
      </c>
      <c r="J25" s="1">
        <v>7.9000000000000001E-2</v>
      </c>
      <c r="K25" s="1">
        <v>50</v>
      </c>
      <c r="L25" s="1" t="s">
        <v>14</v>
      </c>
    </row>
    <row r="26" spans="1:12" x14ac:dyDescent="0.25">
      <c r="A26" s="1" t="s">
        <v>1318</v>
      </c>
      <c r="B26" s="1" t="str">
        <f>("235007")</f>
        <v>235007</v>
      </c>
      <c r="C26" s="1" t="str">
        <f>("622454010208")</f>
        <v>622454010208</v>
      </c>
      <c r="D26" s="1">
        <v>401095</v>
      </c>
      <c r="E26" t="s">
        <v>47</v>
      </c>
      <c r="F26" s="3">
        <v>3.6489361702127665</v>
      </c>
      <c r="G26" s="1" t="s">
        <v>13</v>
      </c>
      <c r="H26" s="2">
        <v>44621</v>
      </c>
      <c r="I26" s="1">
        <v>0.05</v>
      </c>
      <c r="J26" s="1">
        <v>0.11</v>
      </c>
      <c r="K26" s="1">
        <v>50</v>
      </c>
      <c r="L26" s="1" t="s">
        <v>14</v>
      </c>
    </row>
    <row r="27" spans="1:12" x14ac:dyDescent="0.25">
      <c r="A27" s="1" t="s">
        <v>1318</v>
      </c>
      <c r="B27" s="1" t="str">
        <f>("035792")</f>
        <v>035792</v>
      </c>
      <c r="C27" s="1" t="str">
        <f>("622454357921")</f>
        <v>622454357921</v>
      </c>
      <c r="D27" s="1">
        <v>401101</v>
      </c>
      <c r="E27" t="s">
        <v>48</v>
      </c>
      <c r="F27" s="3">
        <v>2.521276595744681</v>
      </c>
      <c r="G27" s="1" t="s">
        <v>13</v>
      </c>
      <c r="H27" s="2">
        <v>44621</v>
      </c>
      <c r="I27" s="1">
        <v>3.4000000000000002E-2</v>
      </c>
      <c r="J27" s="1">
        <v>7.4999999999999997E-2</v>
      </c>
      <c r="K27" s="1">
        <v>50</v>
      </c>
      <c r="L27" s="1" t="s">
        <v>14</v>
      </c>
    </row>
    <row r="28" spans="1:12" x14ac:dyDescent="0.25">
      <c r="A28" s="1" t="s">
        <v>1318</v>
      </c>
      <c r="B28" s="1" t="str">
        <f>("035791")</f>
        <v>035791</v>
      </c>
      <c r="C28" s="1" t="str">
        <f>("622454357914")</f>
        <v>622454357914</v>
      </c>
      <c r="D28" s="1">
        <v>401102</v>
      </c>
      <c r="E28" t="s">
        <v>49</v>
      </c>
      <c r="F28" s="3">
        <v>7.1914893617021276</v>
      </c>
      <c r="G28" s="1" t="s">
        <v>13</v>
      </c>
      <c r="H28" s="2">
        <v>44621</v>
      </c>
      <c r="I28" s="1">
        <v>0.59</v>
      </c>
      <c r="J28" s="1">
        <v>1.3009999999999999</v>
      </c>
      <c r="K28" s="1">
        <v>50</v>
      </c>
      <c r="L28" s="1" t="s">
        <v>14</v>
      </c>
    </row>
    <row r="29" spans="1:12" x14ac:dyDescent="0.25">
      <c r="A29" s="1" t="s">
        <v>1318</v>
      </c>
      <c r="B29" s="1" t="str">
        <f>("235008")</f>
        <v>235008</v>
      </c>
      <c r="C29" s="1" t="str">
        <f>("622454010215")</f>
        <v>622454010215</v>
      </c>
      <c r="D29" s="1">
        <v>401122</v>
      </c>
      <c r="E29" t="s">
        <v>50</v>
      </c>
      <c r="F29" s="3">
        <v>7.1914893617021276</v>
      </c>
      <c r="G29" s="1" t="s">
        <v>13</v>
      </c>
      <c r="H29" s="2">
        <v>44621</v>
      </c>
      <c r="I29" s="1">
        <v>1E-3</v>
      </c>
      <c r="J29" s="1">
        <v>2E-3</v>
      </c>
      <c r="K29" s="1">
        <v>50</v>
      </c>
      <c r="L29" s="1" t="s">
        <v>14</v>
      </c>
    </row>
    <row r="30" spans="1:12" x14ac:dyDescent="0.25">
      <c r="A30" s="1" t="s">
        <v>1318</v>
      </c>
      <c r="B30" s="1" t="str">
        <f>("235009")</f>
        <v>235009</v>
      </c>
      <c r="C30" s="1" t="str">
        <f>("622454010222")</f>
        <v>622454010222</v>
      </c>
      <c r="D30" s="1">
        <v>401124</v>
      </c>
      <c r="E30" t="s">
        <v>51</v>
      </c>
      <c r="F30" s="3">
        <v>7.1914893617021276</v>
      </c>
      <c r="G30" s="1" t="s">
        <v>13</v>
      </c>
      <c r="H30" s="2">
        <v>44621</v>
      </c>
      <c r="I30" s="1">
        <v>0.06</v>
      </c>
      <c r="J30" s="1">
        <v>0.13200000000000001</v>
      </c>
      <c r="K30" s="1">
        <v>50</v>
      </c>
      <c r="L30" s="1" t="s">
        <v>14</v>
      </c>
    </row>
    <row r="31" spans="1:12" x14ac:dyDescent="0.25">
      <c r="A31" s="1" t="s">
        <v>1318</v>
      </c>
      <c r="B31" s="1" t="str">
        <f>("035994")</f>
        <v>035994</v>
      </c>
      <c r="C31" s="1" t="str">
        <f>("622454359949")</f>
        <v>622454359949</v>
      </c>
      <c r="D31" s="1">
        <v>401125</v>
      </c>
      <c r="E31" t="s">
        <v>52</v>
      </c>
      <c r="F31" s="3">
        <v>7.1914893617021276</v>
      </c>
      <c r="G31" s="1" t="s">
        <v>13</v>
      </c>
      <c r="H31" s="2">
        <v>44621</v>
      </c>
      <c r="I31" s="1">
        <v>6.4000000000000001E-2</v>
      </c>
      <c r="J31" s="1">
        <v>0.14099999999999999</v>
      </c>
      <c r="K31" s="1">
        <v>50</v>
      </c>
      <c r="L31" s="1" t="s">
        <v>14</v>
      </c>
    </row>
    <row r="32" spans="1:12" x14ac:dyDescent="0.25">
      <c r="A32" s="1" t="s">
        <v>1318</v>
      </c>
      <c r="B32" s="1" t="str">
        <f>("035962")</f>
        <v>035962</v>
      </c>
      <c r="C32" s="1" t="str">
        <f>("622454359628")</f>
        <v>622454359628</v>
      </c>
      <c r="D32" s="1">
        <v>401126</v>
      </c>
      <c r="E32" t="s">
        <v>53</v>
      </c>
      <c r="F32" s="3">
        <v>7.1914893617021276</v>
      </c>
      <c r="G32" s="1" t="s">
        <v>13</v>
      </c>
      <c r="H32" s="2">
        <v>44621</v>
      </c>
      <c r="I32" s="1">
        <v>7.2999999999999995E-2</v>
      </c>
      <c r="J32" s="1">
        <v>0.161</v>
      </c>
      <c r="K32" s="1">
        <v>50</v>
      </c>
      <c r="L32" s="1" t="s">
        <v>14</v>
      </c>
    </row>
    <row r="33" spans="1:12" x14ac:dyDescent="0.25">
      <c r="A33" s="1" t="s">
        <v>1318</v>
      </c>
      <c r="B33" s="1" t="str">
        <f>("035794")</f>
        <v>035794</v>
      </c>
      <c r="C33" s="1" t="str">
        <f>("622454357945")</f>
        <v>622454357945</v>
      </c>
      <c r="D33" s="1">
        <v>401130</v>
      </c>
      <c r="E33" t="s">
        <v>54</v>
      </c>
      <c r="F33" s="3">
        <v>4.2765957446808507</v>
      </c>
      <c r="G33" s="1" t="s">
        <v>13</v>
      </c>
      <c r="H33" s="2">
        <v>44621</v>
      </c>
      <c r="I33" s="1">
        <v>8.4000000000000005E-2</v>
      </c>
      <c r="J33" s="1">
        <v>0.185</v>
      </c>
      <c r="K33" s="1">
        <v>40</v>
      </c>
      <c r="L33" s="1" t="s">
        <v>14</v>
      </c>
    </row>
    <row r="34" spans="1:12" x14ac:dyDescent="0.25">
      <c r="A34" s="1" t="s">
        <v>1318</v>
      </c>
      <c r="B34" s="1" t="str">
        <f>("035795")</f>
        <v>035795</v>
      </c>
      <c r="C34" s="1" t="str">
        <f>("622454357952")</f>
        <v>622454357952</v>
      </c>
      <c r="D34" s="1">
        <v>401131</v>
      </c>
      <c r="E34" t="s">
        <v>55</v>
      </c>
      <c r="F34" s="3">
        <v>4.6914893617021285</v>
      </c>
      <c r="G34" s="1" t="s">
        <v>13</v>
      </c>
      <c r="H34" s="2">
        <v>44621</v>
      </c>
      <c r="I34" s="1">
        <v>5.8000000000000003E-2</v>
      </c>
      <c r="J34" s="1">
        <v>0.128</v>
      </c>
      <c r="K34" s="1">
        <v>35</v>
      </c>
      <c r="L34" s="1" t="s">
        <v>14</v>
      </c>
    </row>
    <row r="35" spans="1:12" x14ac:dyDescent="0.25">
      <c r="A35" s="1" t="s">
        <v>1318</v>
      </c>
      <c r="B35" s="1" t="str">
        <f>("035989")</f>
        <v>035989</v>
      </c>
      <c r="C35" s="1" t="str">
        <f>("622454359895")</f>
        <v>622454359895</v>
      </c>
      <c r="D35" s="1">
        <v>401132</v>
      </c>
      <c r="E35" t="s">
        <v>56</v>
      </c>
      <c r="F35" s="3">
        <v>9.6170212765957448</v>
      </c>
      <c r="G35" s="1" t="s">
        <v>13</v>
      </c>
      <c r="H35" s="2">
        <v>44621</v>
      </c>
      <c r="I35" s="1">
        <v>0.1</v>
      </c>
      <c r="J35" s="1">
        <v>0.22</v>
      </c>
      <c r="K35" s="1">
        <v>25</v>
      </c>
      <c r="L35" s="1" t="s">
        <v>14</v>
      </c>
    </row>
    <row r="36" spans="1:12" x14ac:dyDescent="0.25">
      <c r="A36" s="1" t="s">
        <v>1318</v>
      </c>
      <c r="B36" s="1" t="str">
        <f>("035793")</f>
        <v>035793</v>
      </c>
      <c r="C36" s="1" t="str">
        <f>("622454357938")</f>
        <v>622454357938</v>
      </c>
      <c r="D36" s="1">
        <v>401133</v>
      </c>
      <c r="E36" t="s">
        <v>57</v>
      </c>
      <c r="F36" s="3">
        <v>12.436170212765958</v>
      </c>
      <c r="G36" s="1" t="s">
        <v>13</v>
      </c>
      <c r="H36" s="2">
        <v>44621</v>
      </c>
      <c r="I36" s="1">
        <v>0.113</v>
      </c>
      <c r="J36" s="1">
        <v>0.249</v>
      </c>
      <c r="K36" s="1">
        <v>25</v>
      </c>
      <c r="L36" s="1" t="s">
        <v>14</v>
      </c>
    </row>
    <row r="37" spans="1:12" x14ac:dyDescent="0.25">
      <c r="A37" s="1" t="s">
        <v>1318</v>
      </c>
      <c r="B37" s="1" t="str">
        <f>("235010")</f>
        <v>235010</v>
      </c>
      <c r="C37" s="1" t="str">
        <f>("622454010239")</f>
        <v>622454010239</v>
      </c>
      <c r="D37" s="1">
        <v>401156</v>
      </c>
      <c r="E37" t="s">
        <v>58</v>
      </c>
      <c r="F37" s="3">
        <v>9.8085106382978733</v>
      </c>
      <c r="G37" s="1" t="s">
        <v>13</v>
      </c>
      <c r="H37" s="2">
        <v>44621</v>
      </c>
      <c r="I37" s="1">
        <v>0.08</v>
      </c>
      <c r="J37" s="1">
        <v>0.17599999999999999</v>
      </c>
      <c r="K37" s="1">
        <v>25</v>
      </c>
      <c r="L37" s="1" t="s">
        <v>14</v>
      </c>
    </row>
    <row r="38" spans="1:12" x14ac:dyDescent="0.25">
      <c r="A38" s="1" t="s">
        <v>1318</v>
      </c>
      <c r="B38" s="1" t="str">
        <f>("035796")</f>
        <v>035796</v>
      </c>
      <c r="C38" s="1" t="str">
        <f>("622454357969")</f>
        <v>622454357969</v>
      </c>
      <c r="D38" s="1">
        <v>401157</v>
      </c>
      <c r="E38" t="s">
        <v>59</v>
      </c>
      <c r="F38" s="3">
        <v>9.8085106382978733</v>
      </c>
      <c r="G38" s="1" t="s">
        <v>13</v>
      </c>
      <c r="H38" s="2">
        <v>44621</v>
      </c>
      <c r="I38" s="1">
        <v>0.1</v>
      </c>
      <c r="J38" s="1">
        <v>0.22</v>
      </c>
      <c r="K38" s="1">
        <v>25</v>
      </c>
      <c r="L38" s="1" t="s">
        <v>14</v>
      </c>
    </row>
    <row r="39" spans="1:12" x14ac:dyDescent="0.25">
      <c r="A39" s="1" t="s">
        <v>1318</v>
      </c>
      <c r="B39" s="1" t="str">
        <f>("235011")</f>
        <v>235011</v>
      </c>
      <c r="C39" s="1" t="str">
        <f>("622454010246")</f>
        <v>622454010246</v>
      </c>
      <c r="D39" s="1">
        <v>401158</v>
      </c>
      <c r="E39" t="s">
        <v>60</v>
      </c>
      <c r="F39" s="3">
        <v>9.8085106382978733</v>
      </c>
      <c r="G39" s="1" t="s">
        <v>13</v>
      </c>
      <c r="H39" s="2">
        <v>44621</v>
      </c>
      <c r="I39" s="1">
        <v>0.12</v>
      </c>
      <c r="J39" s="1">
        <v>0.26500000000000001</v>
      </c>
      <c r="K39" s="1">
        <v>25</v>
      </c>
      <c r="L39" s="1" t="s">
        <v>14</v>
      </c>
    </row>
    <row r="40" spans="1:12" x14ac:dyDescent="0.25">
      <c r="A40" s="1" t="s">
        <v>1318</v>
      </c>
      <c r="B40" s="1" t="str">
        <f>("035797")</f>
        <v>035797</v>
      </c>
      <c r="C40" s="1" t="str">
        <f>("622454357976")</f>
        <v>622454357976</v>
      </c>
      <c r="D40" s="1">
        <v>401166</v>
      </c>
      <c r="E40" t="s">
        <v>61</v>
      </c>
      <c r="F40" s="3">
        <v>6.9468085106382986</v>
      </c>
      <c r="G40" s="1" t="s">
        <v>13</v>
      </c>
      <c r="H40" s="2">
        <v>44621</v>
      </c>
      <c r="I40" s="1">
        <v>7.0000000000000007E-2</v>
      </c>
      <c r="J40" s="1">
        <v>0.154</v>
      </c>
      <c r="K40" s="1">
        <v>25</v>
      </c>
      <c r="L40" s="1" t="s">
        <v>14</v>
      </c>
    </row>
    <row r="41" spans="1:12" x14ac:dyDescent="0.25">
      <c r="A41" s="1" t="s">
        <v>1318</v>
      </c>
      <c r="B41" s="1" t="str">
        <f>("035798")</f>
        <v>035798</v>
      </c>
      <c r="C41" s="1" t="str">
        <f>("622454357983")</f>
        <v>622454357983</v>
      </c>
      <c r="D41" s="1">
        <v>401167</v>
      </c>
      <c r="E41" t="s">
        <v>62</v>
      </c>
      <c r="F41" s="3">
        <v>6.9468085106382986</v>
      </c>
      <c r="G41" s="1" t="s">
        <v>13</v>
      </c>
      <c r="H41" s="2">
        <v>44621</v>
      </c>
      <c r="I41" s="1">
        <v>9.1999999999999998E-2</v>
      </c>
      <c r="J41" s="1">
        <v>0.20300000000000001</v>
      </c>
      <c r="K41" s="1">
        <v>20</v>
      </c>
      <c r="L41" s="1" t="s">
        <v>14</v>
      </c>
    </row>
    <row r="42" spans="1:12" x14ac:dyDescent="0.25">
      <c r="A42" s="1" t="s">
        <v>1318</v>
      </c>
      <c r="B42" s="1" t="str">
        <f>("035799")</f>
        <v>035799</v>
      </c>
      <c r="C42" s="1" t="str">
        <f>("622454357990")</f>
        <v>622454357990</v>
      </c>
      <c r="D42" s="1">
        <v>401168</v>
      </c>
      <c r="E42" t="s">
        <v>63</v>
      </c>
      <c r="F42" s="3">
        <v>6.9468085106382986</v>
      </c>
      <c r="G42" s="1" t="s">
        <v>13</v>
      </c>
      <c r="H42" s="2">
        <v>44621</v>
      </c>
      <c r="I42" s="1">
        <v>0.10199999999999999</v>
      </c>
      <c r="J42" s="1">
        <v>0.22500000000000001</v>
      </c>
      <c r="K42" s="1">
        <v>20</v>
      </c>
      <c r="L42" s="1" t="s">
        <v>14</v>
      </c>
    </row>
    <row r="43" spans="1:12" x14ac:dyDescent="0.25">
      <c r="A43" s="1" t="s">
        <v>1318</v>
      </c>
      <c r="B43" s="1" t="str">
        <f>("235012")</f>
        <v>235012</v>
      </c>
      <c r="C43" s="1" t="str">
        <f>("622454010253")</f>
        <v>622454010253</v>
      </c>
      <c r="D43" s="1">
        <v>401169</v>
      </c>
      <c r="E43" t="s">
        <v>64</v>
      </c>
      <c r="F43" s="3">
        <v>12.744680851063832</v>
      </c>
      <c r="G43" s="1" t="s">
        <v>13</v>
      </c>
      <c r="H43" s="2">
        <v>44621</v>
      </c>
      <c r="I43" s="1">
        <v>1E-3</v>
      </c>
      <c r="J43" s="1">
        <v>2E-3</v>
      </c>
      <c r="K43" s="1">
        <v>25</v>
      </c>
      <c r="L43" s="1" t="s">
        <v>14</v>
      </c>
    </row>
    <row r="44" spans="1:12" x14ac:dyDescent="0.25">
      <c r="A44" s="1" t="s">
        <v>1318</v>
      </c>
      <c r="B44" s="1" t="str">
        <f>("235013")</f>
        <v>235013</v>
      </c>
      <c r="C44" s="1" t="str">
        <f>("622454010260")</f>
        <v>622454010260</v>
      </c>
      <c r="D44" s="1">
        <v>401170</v>
      </c>
      <c r="E44" t="s">
        <v>65</v>
      </c>
      <c r="F44" s="3">
        <v>17.468085106382983</v>
      </c>
      <c r="G44" s="1" t="s">
        <v>13</v>
      </c>
      <c r="H44" s="2">
        <v>44621</v>
      </c>
      <c r="I44" s="1">
        <v>1E-3</v>
      </c>
      <c r="J44" s="1">
        <v>2E-3</v>
      </c>
      <c r="K44" s="1">
        <v>25</v>
      </c>
      <c r="L44" s="1" t="s">
        <v>14</v>
      </c>
    </row>
    <row r="45" spans="1:12" x14ac:dyDescent="0.25">
      <c r="A45" s="1" t="s">
        <v>1318</v>
      </c>
      <c r="B45" s="1" t="str">
        <f>("235014")</f>
        <v>235014</v>
      </c>
      <c r="C45" s="1" t="str">
        <f>("622454010277")</f>
        <v>622454010277</v>
      </c>
      <c r="D45" s="1">
        <v>401199</v>
      </c>
      <c r="E45" t="s">
        <v>66</v>
      </c>
      <c r="F45" s="3">
        <v>12.212765957446809</v>
      </c>
      <c r="G45" s="1" t="s">
        <v>13</v>
      </c>
      <c r="H45" s="2">
        <v>44621</v>
      </c>
      <c r="I45" s="1">
        <v>0.12</v>
      </c>
      <c r="J45" s="1">
        <v>0.26500000000000001</v>
      </c>
      <c r="K45" s="1">
        <v>25</v>
      </c>
      <c r="L45" s="1" t="s">
        <v>14</v>
      </c>
    </row>
    <row r="46" spans="1:12" x14ac:dyDescent="0.25">
      <c r="A46" s="1" t="s">
        <v>1318</v>
      </c>
      <c r="B46" s="1" t="str">
        <f>("235015")</f>
        <v>235015</v>
      </c>
      <c r="C46" s="1" t="str">
        <f>("622454010284")</f>
        <v>622454010284</v>
      </c>
      <c r="D46" s="1">
        <v>401201</v>
      </c>
      <c r="E46" t="s">
        <v>67</v>
      </c>
      <c r="F46" s="3">
        <v>12.212765957446809</v>
      </c>
      <c r="G46" s="1" t="s">
        <v>13</v>
      </c>
      <c r="H46" s="2">
        <v>44621</v>
      </c>
      <c r="I46" s="1">
        <v>0.11</v>
      </c>
      <c r="J46" s="1">
        <v>0.24299999999999999</v>
      </c>
      <c r="K46" s="1">
        <v>25</v>
      </c>
      <c r="L46" s="1" t="s">
        <v>14</v>
      </c>
    </row>
    <row r="47" spans="1:12" x14ac:dyDescent="0.25">
      <c r="A47" s="1" t="s">
        <v>1318</v>
      </c>
      <c r="B47" s="1" t="str">
        <f>("035959")</f>
        <v>035959</v>
      </c>
      <c r="C47" s="1" t="str">
        <f>("622454359598")</f>
        <v>622454359598</v>
      </c>
      <c r="D47" s="1">
        <v>401202</v>
      </c>
      <c r="E47" t="s">
        <v>68</v>
      </c>
      <c r="F47" s="3">
        <v>12.212765957446809</v>
      </c>
      <c r="G47" s="1" t="s">
        <v>13</v>
      </c>
      <c r="H47" s="2">
        <v>44621</v>
      </c>
      <c r="I47" s="1">
        <v>0.13200000000000001</v>
      </c>
      <c r="J47" s="1">
        <v>0.29099999999999998</v>
      </c>
      <c r="K47" s="1">
        <v>25</v>
      </c>
      <c r="L47" s="1" t="s">
        <v>14</v>
      </c>
    </row>
    <row r="48" spans="1:12" x14ac:dyDescent="0.25">
      <c r="A48" s="1" t="s">
        <v>1318</v>
      </c>
      <c r="B48" s="1" t="str">
        <f>("035800")</f>
        <v>035800</v>
      </c>
      <c r="C48" s="1" t="str">
        <f>("622454358003")</f>
        <v>622454358003</v>
      </c>
      <c r="D48" s="1">
        <v>401209</v>
      </c>
      <c r="E48" t="s">
        <v>69</v>
      </c>
      <c r="F48" s="3">
        <v>12.212765957446809</v>
      </c>
      <c r="G48" s="1" t="s">
        <v>13</v>
      </c>
      <c r="H48" s="2">
        <v>44621</v>
      </c>
      <c r="I48" s="1">
        <v>0.106</v>
      </c>
      <c r="J48" s="1">
        <v>0.23400000000000001</v>
      </c>
      <c r="K48" s="1">
        <v>20</v>
      </c>
      <c r="L48" s="1" t="s">
        <v>14</v>
      </c>
    </row>
    <row r="49" spans="1:12" x14ac:dyDescent="0.25">
      <c r="A49" s="1" t="s">
        <v>1318</v>
      </c>
      <c r="B49" s="1" t="str">
        <f>("035801")</f>
        <v>035801</v>
      </c>
      <c r="C49" s="1" t="str">
        <f>("622454358010")</f>
        <v>622454358010</v>
      </c>
      <c r="D49" s="1">
        <v>401210</v>
      </c>
      <c r="E49" t="s">
        <v>70</v>
      </c>
      <c r="F49" s="3">
        <v>12.212765957446809</v>
      </c>
      <c r="G49" s="1" t="s">
        <v>13</v>
      </c>
      <c r="H49" s="2">
        <v>44621</v>
      </c>
      <c r="I49" s="1">
        <v>0.114</v>
      </c>
      <c r="J49" s="1">
        <v>0.251</v>
      </c>
      <c r="K49" s="1">
        <v>20</v>
      </c>
      <c r="L49" s="1" t="s">
        <v>14</v>
      </c>
    </row>
    <row r="50" spans="1:12" x14ac:dyDescent="0.25">
      <c r="A50" s="1" t="s">
        <v>1318</v>
      </c>
      <c r="B50" s="1" t="str">
        <f>("035802")</f>
        <v>035802</v>
      </c>
      <c r="C50" s="1" t="str">
        <f>("622454358027")</f>
        <v>622454358027</v>
      </c>
      <c r="D50" s="1">
        <v>401211</v>
      </c>
      <c r="E50" t="s">
        <v>71</v>
      </c>
      <c r="F50" s="3">
        <v>12.212765957446809</v>
      </c>
      <c r="G50" s="1" t="s">
        <v>13</v>
      </c>
      <c r="H50" s="2">
        <v>44621</v>
      </c>
      <c r="I50" s="1">
        <v>0.125</v>
      </c>
      <c r="J50" s="1">
        <v>0.27600000000000002</v>
      </c>
      <c r="K50" s="1">
        <v>25</v>
      </c>
      <c r="L50" s="1" t="s">
        <v>14</v>
      </c>
    </row>
    <row r="51" spans="1:12" x14ac:dyDescent="0.25">
      <c r="A51" s="1" t="s">
        <v>1318</v>
      </c>
      <c r="B51" s="1" t="str">
        <f>("035803")</f>
        <v>035803</v>
      </c>
      <c r="C51" s="1" t="str">
        <f>("622454358034")</f>
        <v>622454358034</v>
      </c>
      <c r="D51" s="1">
        <v>401212</v>
      </c>
      <c r="E51" t="s">
        <v>72</v>
      </c>
      <c r="F51" s="3">
        <v>12.212765957446809</v>
      </c>
      <c r="G51" s="1" t="s">
        <v>13</v>
      </c>
      <c r="H51" s="2">
        <v>44621</v>
      </c>
      <c r="I51" s="1">
        <v>0.154</v>
      </c>
      <c r="J51" s="1">
        <v>0.34</v>
      </c>
      <c r="K51" s="1">
        <v>25</v>
      </c>
      <c r="L51" s="1" t="s">
        <v>14</v>
      </c>
    </row>
    <row r="52" spans="1:12" x14ac:dyDescent="0.25">
      <c r="A52" s="1" t="s">
        <v>1318</v>
      </c>
      <c r="B52" s="1" t="str">
        <f>("035082")</f>
        <v>035082</v>
      </c>
      <c r="C52" s="1" t="str">
        <f>("622454350823")</f>
        <v>622454350823</v>
      </c>
      <c r="D52" s="1">
        <v>401213</v>
      </c>
      <c r="E52" t="s">
        <v>73</v>
      </c>
      <c r="F52" s="3">
        <v>17.468085106382983</v>
      </c>
      <c r="G52" s="1" t="s">
        <v>13</v>
      </c>
      <c r="H52" s="2">
        <v>44621</v>
      </c>
      <c r="I52" s="1">
        <v>0.2</v>
      </c>
      <c r="J52" s="1">
        <v>0.441</v>
      </c>
      <c r="K52" s="1">
        <v>25</v>
      </c>
      <c r="L52" s="1" t="s">
        <v>14</v>
      </c>
    </row>
    <row r="53" spans="1:12" x14ac:dyDescent="0.25">
      <c r="A53" s="1" t="s">
        <v>1318</v>
      </c>
      <c r="B53" s="1" t="str">
        <f>("235016")</f>
        <v>235016</v>
      </c>
      <c r="C53" s="1" t="str">
        <f>("622454010291")</f>
        <v>622454010291</v>
      </c>
      <c r="D53" s="1">
        <v>401214</v>
      </c>
      <c r="E53" t="s">
        <v>74</v>
      </c>
      <c r="F53" s="3">
        <v>38.48936170212766</v>
      </c>
      <c r="G53" s="1" t="s">
        <v>13</v>
      </c>
      <c r="H53" s="2">
        <v>44621</v>
      </c>
      <c r="I53" s="1">
        <v>1E-3</v>
      </c>
      <c r="J53" s="1">
        <v>2E-3</v>
      </c>
      <c r="K53" s="1">
        <v>25</v>
      </c>
      <c r="L53" s="1" t="s">
        <v>14</v>
      </c>
    </row>
    <row r="54" spans="1:12" x14ac:dyDescent="0.25">
      <c r="A54" s="1" t="s">
        <v>1318</v>
      </c>
      <c r="B54" s="1" t="str">
        <f>("235017")</f>
        <v>235017</v>
      </c>
      <c r="C54" s="1" t="str">
        <f>("622454010307")</f>
        <v>622454010307</v>
      </c>
      <c r="D54" s="1">
        <v>401238</v>
      </c>
      <c r="E54" t="s">
        <v>75</v>
      </c>
      <c r="F54" s="3">
        <v>17.468085106382983</v>
      </c>
      <c r="G54" s="1" t="s">
        <v>13</v>
      </c>
      <c r="H54" s="2">
        <v>44621</v>
      </c>
      <c r="I54" s="1">
        <v>0.14000000000000001</v>
      </c>
      <c r="J54" s="1">
        <v>0.309</v>
      </c>
      <c r="K54" s="1">
        <v>10</v>
      </c>
      <c r="L54" s="1" t="s">
        <v>14</v>
      </c>
    </row>
    <row r="55" spans="1:12" x14ac:dyDescent="0.25">
      <c r="A55" s="1" t="s">
        <v>1318</v>
      </c>
      <c r="B55" s="1" t="str">
        <f>("035804")</f>
        <v>035804</v>
      </c>
      <c r="C55" s="1" t="str">
        <f>("622454358041")</f>
        <v>622454358041</v>
      </c>
      <c r="D55" s="1">
        <v>401239</v>
      </c>
      <c r="E55" t="s">
        <v>76</v>
      </c>
      <c r="F55" s="3">
        <v>17.468085106382983</v>
      </c>
      <c r="G55" s="1" t="s">
        <v>13</v>
      </c>
      <c r="H55" s="2">
        <v>44621</v>
      </c>
      <c r="I55" s="1">
        <v>0.186</v>
      </c>
      <c r="J55" s="1">
        <v>0.41</v>
      </c>
      <c r="K55" s="1">
        <v>10</v>
      </c>
      <c r="L55" s="1" t="s">
        <v>14</v>
      </c>
    </row>
    <row r="56" spans="1:12" x14ac:dyDescent="0.25">
      <c r="A56" s="1" t="s">
        <v>1318</v>
      </c>
      <c r="B56" s="1" t="str">
        <f>("035805")</f>
        <v>035805</v>
      </c>
      <c r="C56" s="1" t="str">
        <f>("622454358058")</f>
        <v>622454358058</v>
      </c>
      <c r="D56" s="1">
        <v>401241</v>
      </c>
      <c r="E56" t="s">
        <v>77</v>
      </c>
      <c r="F56" s="3">
        <v>17.468085106382983</v>
      </c>
      <c r="G56" s="1" t="s">
        <v>13</v>
      </c>
      <c r="H56" s="2">
        <v>44621</v>
      </c>
      <c r="I56" s="1">
        <v>0.19500000000000001</v>
      </c>
      <c r="J56" s="1">
        <v>0.43</v>
      </c>
      <c r="K56" s="1">
        <v>10</v>
      </c>
      <c r="L56" s="1" t="s">
        <v>14</v>
      </c>
    </row>
    <row r="57" spans="1:12" x14ac:dyDescent="0.25">
      <c r="A57" s="1" t="s">
        <v>1318</v>
      </c>
      <c r="B57" s="1" t="str">
        <f>("035806")</f>
        <v>035806</v>
      </c>
      <c r="C57" s="1" t="str">
        <f>("622454358065")</f>
        <v>622454358065</v>
      </c>
      <c r="D57" s="1">
        <v>401247</v>
      </c>
      <c r="E57" t="s">
        <v>78</v>
      </c>
      <c r="F57" s="3">
        <v>12.021276595744682</v>
      </c>
      <c r="G57" s="1" t="s">
        <v>13</v>
      </c>
      <c r="H57" s="2">
        <v>44621</v>
      </c>
      <c r="I57" s="1">
        <v>0.15</v>
      </c>
      <c r="J57" s="1">
        <v>0.33100000000000002</v>
      </c>
      <c r="K57" s="1">
        <v>20</v>
      </c>
      <c r="L57" s="1" t="s">
        <v>14</v>
      </c>
    </row>
    <row r="58" spans="1:12" x14ac:dyDescent="0.25">
      <c r="A58" s="1" t="s">
        <v>1318</v>
      </c>
      <c r="B58" s="1" t="str">
        <f>("035807")</f>
        <v>035807</v>
      </c>
      <c r="C58" s="1" t="str">
        <f>("622454358072")</f>
        <v>622454358072</v>
      </c>
      <c r="D58" s="1">
        <v>401248</v>
      </c>
      <c r="E58" t="s">
        <v>79</v>
      </c>
      <c r="F58" s="3">
        <v>12.031914893617023</v>
      </c>
      <c r="G58" s="1" t="s">
        <v>13</v>
      </c>
      <c r="H58" s="2">
        <v>44621</v>
      </c>
      <c r="I58" s="1">
        <v>0.156</v>
      </c>
      <c r="J58" s="1">
        <v>0.34399999999999997</v>
      </c>
      <c r="K58" s="1">
        <v>15</v>
      </c>
      <c r="L58" s="1" t="s">
        <v>14</v>
      </c>
    </row>
    <row r="59" spans="1:12" x14ac:dyDescent="0.25">
      <c r="A59" s="1" t="s">
        <v>1318</v>
      </c>
      <c r="B59" s="1" t="str">
        <f>("035808")</f>
        <v>035808</v>
      </c>
      <c r="C59" s="1" t="str">
        <f>("622454358089")</f>
        <v>622454358089</v>
      </c>
      <c r="D59" s="1">
        <v>401249</v>
      </c>
      <c r="E59" t="s">
        <v>80</v>
      </c>
      <c r="F59" s="3">
        <v>12.031914893617023</v>
      </c>
      <c r="G59" s="1" t="s">
        <v>13</v>
      </c>
      <c r="H59" s="2">
        <v>44621</v>
      </c>
      <c r="I59" s="1">
        <v>0.14499999999999999</v>
      </c>
      <c r="J59" s="1">
        <v>0.32</v>
      </c>
      <c r="K59" s="1">
        <v>20</v>
      </c>
      <c r="L59" s="1" t="s">
        <v>14</v>
      </c>
    </row>
    <row r="60" spans="1:12" x14ac:dyDescent="0.25">
      <c r="A60" s="1" t="s">
        <v>1318</v>
      </c>
      <c r="B60" s="1" t="str">
        <f>("035809")</f>
        <v>035809</v>
      </c>
      <c r="C60" s="1" t="str">
        <f>("622454358096")</f>
        <v>622454358096</v>
      </c>
      <c r="D60" s="1">
        <v>401250</v>
      </c>
      <c r="E60" t="s">
        <v>81</v>
      </c>
      <c r="F60" s="3">
        <v>12.031914893617023</v>
      </c>
      <c r="G60" s="1" t="s">
        <v>13</v>
      </c>
      <c r="H60" s="2">
        <v>44621</v>
      </c>
      <c r="I60" s="1">
        <v>0.19500000000000001</v>
      </c>
      <c r="J60" s="1">
        <v>0.43</v>
      </c>
      <c r="K60" s="1">
        <v>10</v>
      </c>
      <c r="L60" s="1" t="s">
        <v>14</v>
      </c>
    </row>
    <row r="61" spans="1:12" x14ac:dyDescent="0.25">
      <c r="A61" s="1" t="s">
        <v>1318</v>
      </c>
      <c r="B61" s="1" t="str">
        <f>("035810")</f>
        <v>035810</v>
      </c>
      <c r="C61" s="1" t="str">
        <f>("622454358102")</f>
        <v>622454358102</v>
      </c>
      <c r="D61" s="1">
        <v>401251</v>
      </c>
      <c r="E61" t="s">
        <v>82</v>
      </c>
      <c r="F61" s="3">
        <v>12.031914893617023</v>
      </c>
      <c r="G61" s="1" t="s">
        <v>13</v>
      </c>
      <c r="H61" s="2">
        <v>44621</v>
      </c>
      <c r="I61" s="1">
        <v>0.13600000000000001</v>
      </c>
      <c r="J61" s="1">
        <v>0.3</v>
      </c>
      <c r="K61" s="1">
        <v>30</v>
      </c>
      <c r="L61" s="1" t="s">
        <v>14</v>
      </c>
    </row>
    <row r="62" spans="1:12" x14ac:dyDescent="0.25">
      <c r="A62" s="1" t="s">
        <v>1318</v>
      </c>
      <c r="B62" s="1" t="str">
        <f>("035811")</f>
        <v>035811</v>
      </c>
      <c r="C62" s="1" t="str">
        <f>("622454358119")</f>
        <v>622454358119</v>
      </c>
      <c r="D62" s="1">
        <v>401287</v>
      </c>
      <c r="E62" t="s">
        <v>83</v>
      </c>
      <c r="F62" s="3">
        <v>36.957446808510646</v>
      </c>
      <c r="G62" s="1" t="s">
        <v>13</v>
      </c>
      <c r="H62" s="2">
        <v>44621</v>
      </c>
      <c r="I62" s="1">
        <v>0.254</v>
      </c>
      <c r="J62" s="1">
        <v>0.56000000000000005</v>
      </c>
      <c r="K62" s="1">
        <v>10</v>
      </c>
      <c r="L62" s="1" t="s">
        <v>14</v>
      </c>
    </row>
    <row r="63" spans="1:12" x14ac:dyDescent="0.25">
      <c r="A63" s="1" t="s">
        <v>1318</v>
      </c>
      <c r="B63" s="1" t="str">
        <f>("035812")</f>
        <v>035812</v>
      </c>
      <c r="C63" s="1" t="str">
        <f>("622454358126")</f>
        <v>622454358126</v>
      </c>
      <c r="D63" s="1">
        <v>401288</v>
      </c>
      <c r="E63" t="s">
        <v>84</v>
      </c>
      <c r="F63" s="3">
        <v>36.957446808510646</v>
      </c>
      <c r="G63" s="1" t="s">
        <v>13</v>
      </c>
      <c r="H63" s="2">
        <v>44621</v>
      </c>
      <c r="I63" s="1">
        <v>0.28599999999999998</v>
      </c>
      <c r="J63" s="1">
        <v>0.63100000000000001</v>
      </c>
      <c r="K63" s="1">
        <v>10</v>
      </c>
      <c r="L63" s="1" t="s">
        <v>14</v>
      </c>
    </row>
    <row r="64" spans="1:12" x14ac:dyDescent="0.25">
      <c r="A64" s="1" t="s">
        <v>1318</v>
      </c>
      <c r="B64" s="1" t="str">
        <f>("035813")</f>
        <v>035813</v>
      </c>
      <c r="C64" s="1" t="str">
        <f>("622454358133")</f>
        <v>622454358133</v>
      </c>
      <c r="D64" s="1">
        <v>401289</v>
      </c>
      <c r="E64" t="s">
        <v>85</v>
      </c>
      <c r="F64" s="3">
        <v>36.957446808510646</v>
      </c>
      <c r="G64" s="1" t="s">
        <v>13</v>
      </c>
      <c r="H64" s="2">
        <v>44621</v>
      </c>
      <c r="I64" s="1">
        <v>0.308</v>
      </c>
      <c r="J64" s="1">
        <v>0.67900000000000005</v>
      </c>
      <c r="K64" s="1">
        <v>10</v>
      </c>
      <c r="L64" s="1" t="s">
        <v>14</v>
      </c>
    </row>
    <row r="65" spans="1:12" x14ac:dyDescent="0.25">
      <c r="A65" s="1" t="s">
        <v>1318</v>
      </c>
      <c r="B65" s="1" t="str">
        <f>("035814")</f>
        <v>035814</v>
      </c>
      <c r="C65" s="1" t="str">
        <f>("622454358140")</f>
        <v>622454358140</v>
      </c>
      <c r="D65" s="1">
        <v>401290</v>
      </c>
      <c r="E65" t="s">
        <v>86</v>
      </c>
      <c r="F65" s="3">
        <v>36.957446808510646</v>
      </c>
      <c r="G65" s="1" t="s">
        <v>13</v>
      </c>
      <c r="H65" s="2">
        <v>44621</v>
      </c>
      <c r="I65" s="1">
        <v>0.34</v>
      </c>
      <c r="J65" s="1">
        <v>0.75</v>
      </c>
      <c r="K65" s="1">
        <v>10</v>
      </c>
      <c r="L65" s="1" t="s">
        <v>14</v>
      </c>
    </row>
    <row r="66" spans="1:12" x14ac:dyDescent="0.25">
      <c r="A66" s="1" t="s">
        <v>1318</v>
      </c>
      <c r="B66" s="1" t="str">
        <f>("035815")</f>
        <v>035815</v>
      </c>
      <c r="C66" s="1" t="str">
        <f>("622454358157")</f>
        <v>622454358157</v>
      </c>
      <c r="D66" s="1">
        <v>401291</v>
      </c>
      <c r="E66" t="s">
        <v>87</v>
      </c>
      <c r="F66" s="3">
        <v>36.957446808510646</v>
      </c>
      <c r="G66" s="1" t="s">
        <v>13</v>
      </c>
      <c r="H66" s="2">
        <v>44621</v>
      </c>
      <c r="I66" s="1">
        <v>0.36299999999999999</v>
      </c>
      <c r="J66" s="1">
        <v>0.8</v>
      </c>
      <c r="K66" s="1">
        <v>10</v>
      </c>
      <c r="L66" s="1" t="s">
        <v>14</v>
      </c>
    </row>
    <row r="67" spans="1:12" x14ac:dyDescent="0.25">
      <c r="A67" s="1" t="s">
        <v>1318</v>
      </c>
      <c r="B67" s="1" t="str">
        <f>("035816")</f>
        <v>035816</v>
      </c>
      <c r="C67" s="1" t="str">
        <f>("622454358164")</f>
        <v>622454358164</v>
      </c>
      <c r="D67" s="1">
        <v>401292</v>
      </c>
      <c r="E67" t="s">
        <v>88</v>
      </c>
      <c r="F67" s="3">
        <v>36.957446808510646</v>
      </c>
      <c r="G67" s="1" t="s">
        <v>13</v>
      </c>
      <c r="H67" s="2">
        <v>44621</v>
      </c>
      <c r="I67" s="1">
        <v>0.43099999999999999</v>
      </c>
      <c r="J67" s="1">
        <v>0.95</v>
      </c>
      <c r="K67" s="1">
        <v>10</v>
      </c>
      <c r="L67" s="1" t="s">
        <v>14</v>
      </c>
    </row>
    <row r="68" spans="1:12" x14ac:dyDescent="0.25">
      <c r="A68" s="1" t="s">
        <v>1318</v>
      </c>
      <c r="B68" s="1" t="str">
        <f>("035817")</f>
        <v>035817</v>
      </c>
      <c r="C68" s="1" t="str">
        <f>("622454358171")</f>
        <v>622454358171</v>
      </c>
      <c r="D68" s="1">
        <v>401333</v>
      </c>
      <c r="E68" t="s">
        <v>89</v>
      </c>
      <c r="F68" s="3">
        <v>52.957446808510646</v>
      </c>
      <c r="G68" s="1" t="s">
        <v>13</v>
      </c>
      <c r="H68" s="2">
        <v>44621</v>
      </c>
      <c r="I68" s="1">
        <v>0.32700000000000001</v>
      </c>
      <c r="J68" s="1">
        <v>0.72099999999999997</v>
      </c>
      <c r="K68" s="1">
        <v>10</v>
      </c>
      <c r="L68" s="1" t="s">
        <v>14</v>
      </c>
    </row>
    <row r="69" spans="1:12" x14ac:dyDescent="0.25">
      <c r="A69" s="1" t="s">
        <v>1318</v>
      </c>
      <c r="B69" s="1" t="str">
        <f>("035818")</f>
        <v>035818</v>
      </c>
      <c r="C69" s="1" t="str">
        <f>("622454358188")</f>
        <v>622454358188</v>
      </c>
      <c r="D69" s="1">
        <v>401334</v>
      </c>
      <c r="E69" t="s">
        <v>90</v>
      </c>
      <c r="F69" s="3">
        <v>52.957446808510646</v>
      </c>
      <c r="G69" s="1" t="s">
        <v>13</v>
      </c>
      <c r="H69" s="2">
        <v>44621</v>
      </c>
      <c r="I69" s="1">
        <v>0.36299999999999999</v>
      </c>
      <c r="J69" s="1">
        <v>0.8</v>
      </c>
      <c r="K69" s="1">
        <v>10</v>
      </c>
      <c r="L69" s="1" t="s">
        <v>14</v>
      </c>
    </row>
    <row r="70" spans="1:12" x14ac:dyDescent="0.25">
      <c r="A70" s="1" t="s">
        <v>1318</v>
      </c>
      <c r="B70" s="1" t="str">
        <f>("035819")</f>
        <v>035819</v>
      </c>
      <c r="C70" s="1" t="str">
        <f>("622454358195")</f>
        <v>622454358195</v>
      </c>
      <c r="D70" s="1">
        <v>401335</v>
      </c>
      <c r="E70" t="s">
        <v>91</v>
      </c>
      <c r="F70" s="3">
        <v>52.957446808510646</v>
      </c>
      <c r="G70" s="1" t="s">
        <v>13</v>
      </c>
      <c r="H70" s="2">
        <v>44621</v>
      </c>
      <c r="I70" s="1">
        <v>0.36299999999999999</v>
      </c>
      <c r="J70" s="1">
        <v>0.8</v>
      </c>
      <c r="K70" s="1">
        <v>10</v>
      </c>
      <c r="L70" s="1" t="s">
        <v>14</v>
      </c>
    </row>
    <row r="71" spans="1:12" x14ac:dyDescent="0.25">
      <c r="A71" s="1" t="s">
        <v>1318</v>
      </c>
      <c r="B71" s="1" t="str">
        <f>("035820")</f>
        <v>035820</v>
      </c>
      <c r="C71" s="1" t="str">
        <f>("622454358201")</f>
        <v>622454358201</v>
      </c>
      <c r="D71" s="1">
        <v>401336</v>
      </c>
      <c r="E71" t="s">
        <v>92</v>
      </c>
      <c r="F71" s="3">
        <v>52.957446808510646</v>
      </c>
      <c r="G71" s="1" t="s">
        <v>13</v>
      </c>
      <c r="H71" s="2">
        <v>44621</v>
      </c>
      <c r="I71" s="1">
        <v>0.42599999999999999</v>
      </c>
      <c r="J71" s="1">
        <v>0.93899999999999995</v>
      </c>
      <c r="K71" s="1">
        <v>10</v>
      </c>
      <c r="L71" s="1" t="s">
        <v>14</v>
      </c>
    </row>
    <row r="72" spans="1:12" x14ac:dyDescent="0.25">
      <c r="A72" s="1" t="s">
        <v>1318</v>
      </c>
      <c r="B72" s="1" t="str">
        <f>("035821")</f>
        <v>035821</v>
      </c>
      <c r="C72" s="1" t="str">
        <f>("622454358218")</f>
        <v>622454358218</v>
      </c>
      <c r="D72" s="1">
        <v>401337</v>
      </c>
      <c r="E72" t="s">
        <v>93</v>
      </c>
      <c r="F72" s="3">
        <v>52.957446808510646</v>
      </c>
      <c r="G72" s="1" t="s">
        <v>13</v>
      </c>
      <c r="H72" s="2">
        <v>44621</v>
      </c>
      <c r="I72" s="1">
        <v>0.435</v>
      </c>
      <c r="J72" s="1">
        <v>0.95899999999999996</v>
      </c>
      <c r="K72" s="1">
        <v>10</v>
      </c>
      <c r="L72" s="1" t="s">
        <v>14</v>
      </c>
    </row>
    <row r="73" spans="1:12" x14ac:dyDescent="0.25">
      <c r="A73" s="1" t="s">
        <v>1318</v>
      </c>
      <c r="B73" s="1" t="str">
        <f>("035822")</f>
        <v>035822</v>
      </c>
      <c r="C73" s="1" t="str">
        <f>("622454358225")</f>
        <v>622454358225</v>
      </c>
      <c r="D73" s="1">
        <v>401338</v>
      </c>
      <c r="E73" t="s">
        <v>94</v>
      </c>
      <c r="F73" s="3">
        <v>52.829787234042556</v>
      </c>
      <c r="G73" s="1" t="s">
        <v>13</v>
      </c>
      <c r="H73" s="2">
        <v>44621</v>
      </c>
      <c r="I73" s="1">
        <v>0.54400000000000004</v>
      </c>
      <c r="J73" s="1">
        <v>1.1990000000000001</v>
      </c>
      <c r="K73" s="1">
        <v>10</v>
      </c>
      <c r="L73" s="1" t="s">
        <v>14</v>
      </c>
    </row>
    <row r="74" spans="1:12" x14ac:dyDescent="0.25">
      <c r="A74" s="1" t="s">
        <v>1318</v>
      </c>
      <c r="B74" s="1" t="str">
        <f>("035823")</f>
        <v>035823</v>
      </c>
      <c r="C74" s="1" t="str">
        <f>("622454358232")</f>
        <v>622454358232</v>
      </c>
      <c r="D74" s="1">
        <v>401339</v>
      </c>
      <c r="E74" t="s">
        <v>95</v>
      </c>
      <c r="F74" s="3">
        <v>66.11702127659575</v>
      </c>
      <c r="G74" s="1" t="s">
        <v>13</v>
      </c>
      <c r="H74" s="2">
        <v>44621</v>
      </c>
      <c r="I74" s="1">
        <v>0.64600000000000002</v>
      </c>
      <c r="J74" s="1">
        <v>1.4239999999999999</v>
      </c>
      <c r="K74" s="1">
        <v>10</v>
      </c>
      <c r="L74" s="1" t="s">
        <v>14</v>
      </c>
    </row>
    <row r="75" spans="1:12" x14ac:dyDescent="0.25">
      <c r="A75" s="1" t="s">
        <v>1318</v>
      </c>
      <c r="B75" s="1" t="str">
        <f>("235018")</f>
        <v>235018</v>
      </c>
      <c r="C75" s="1" t="str">
        <f>("622454010314")</f>
        <v>622454010314</v>
      </c>
      <c r="D75" s="1">
        <v>401342</v>
      </c>
      <c r="E75" t="s">
        <v>96</v>
      </c>
      <c r="F75" s="3">
        <v>90.978723404255319</v>
      </c>
      <c r="G75" s="1" t="s">
        <v>13</v>
      </c>
      <c r="H75" s="2">
        <v>44621</v>
      </c>
      <c r="I75" s="1">
        <v>1E-3</v>
      </c>
      <c r="J75" s="1">
        <v>2E-3</v>
      </c>
      <c r="K75" s="1">
        <v>6</v>
      </c>
      <c r="L75" s="1" t="s">
        <v>14</v>
      </c>
    </row>
    <row r="76" spans="1:12" x14ac:dyDescent="0.25">
      <c r="A76" s="1" t="s">
        <v>1318</v>
      </c>
      <c r="B76" s="1" t="str">
        <f>("035824")</f>
        <v>035824</v>
      </c>
      <c r="C76" s="1" t="str">
        <f>("622454358249")</f>
        <v>622454358249</v>
      </c>
      <c r="D76" s="1">
        <v>401416</v>
      </c>
      <c r="E76" t="s">
        <v>97</v>
      </c>
      <c r="F76" s="3">
        <v>88.074468085106389</v>
      </c>
      <c r="G76" s="1" t="s">
        <v>13</v>
      </c>
      <c r="H76" s="2">
        <v>44621</v>
      </c>
      <c r="I76" s="1">
        <v>0.499</v>
      </c>
      <c r="J76" s="1">
        <v>1.1000000000000001</v>
      </c>
      <c r="K76" s="1">
        <v>6</v>
      </c>
      <c r="L76" s="1" t="s">
        <v>14</v>
      </c>
    </row>
    <row r="77" spans="1:12" x14ac:dyDescent="0.25">
      <c r="A77" s="1" t="s">
        <v>1318</v>
      </c>
      <c r="B77" s="1" t="str">
        <f>("035825")</f>
        <v>035825</v>
      </c>
      <c r="C77" s="1" t="str">
        <f>("622454358256")</f>
        <v>622454358256</v>
      </c>
      <c r="D77" s="1">
        <v>401417</v>
      </c>
      <c r="E77" t="s">
        <v>98</v>
      </c>
      <c r="F77" s="3">
        <v>88.074468085106389</v>
      </c>
      <c r="G77" s="1" t="s">
        <v>13</v>
      </c>
      <c r="H77" s="2">
        <v>44621</v>
      </c>
      <c r="I77" s="1">
        <v>0.54400000000000004</v>
      </c>
      <c r="J77" s="1">
        <v>1.1990000000000001</v>
      </c>
      <c r="K77" s="1">
        <v>6</v>
      </c>
      <c r="L77" s="1" t="s">
        <v>14</v>
      </c>
    </row>
    <row r="78" spans="1:12" x14ac:dyDescent="0.25">
      <c r="A78" s="1" t="s">
        <v>1318</v>
      </c>
      <c r="B78" s="1" t="str">
        <f>("035826")</f>
        <v>035826</v>
      </c>
      <c r="C78" s="1" t="str">
        <f>("622454358263")</f>
        <v>622454358263</v>
      </c>
      <c r="D78" s="1">
        <v>401418</v>
      </c>
      <c r="E78" t="s">
        <v>99</v>
      </c>
      <c r="F78" s="3">
        <v>88.074468085106389</v>
      </c>
      <c r="G78" s="1" t="s">
        <v>13</v>
      </c>
      <c r="H78" s="2">
        <v>44621</v>
      </c>
      <c r="I78" s="1">
        <v>0.54400000000000004</v>
      </c>
      <c r="J78" s="1">
        <v>1.1990000000000001</v>
      </c>
      <c r="K78" s="1">
        <v>10</v>
      </c>
      <c r="L78" s="1" t="s">
        <v>14</v>
      </c>
    </row>
    <row r="79" spans="1:12" x14ac:dyDescent="0.25">
      <c r="A79" s="1" t="s">
        <v>1318</v>
      </c>
      <c r="B79" s="1" t="str">
        <f>("035827")</f>
        <v>035827</v>
      </c>
      <c r="C79" s="1" t="str">
        <f>("622454358270")</f>
        <v>622454358270</v>
      </c>
      <c r="D79" s="1">
        <v>401419</v>
      </c>
      <c r="E79" t="s">
        <v>100</v>
      </c>
      <c r="F79" s="3">
        <v>88.074468085106389</v>
      </c>
      <c r="G79" s="1" t="s">
        <v>13</v>
      </c>
      <c r="H79" s="2">
        <v>44621</v>
      </c>
      <c r="I79" s="1">
        <v>0.63500000000000001</v>
      </c>
      <c r="J79" s="1">
        <v>1.4</v>
      </c>
      <c r="K79" s="1">
        <v>10</v>
      </c>
      <c r="L79" s="1" t="s">
        <v>14</v>
      </c>
    </row>
    <row r="80" spans="1:12" x14ac:dyDescent="0.25">
      <c r="A80" s="1" t="s">
        <v>1318</v>
      </c>
      <c r="B80" s="1" t="str">
        <f>("035828")</f>
        <v>035828</v>
      </c>
      <c r="C80" s="1" t="str">
        <f>("622454358287")</f>
        <v>622454358287</v>
      </c>
      <c r="D80" s="1">
        <v>401420</v>
      </c>
      <c r="E80" t="s">
        <v>101</v>
      </c>
      <c r="F80" s="3">
        <v>88.074468085106389</v>
      </c>
      <c r="G80" s="1" t="s">
        <v>13</v>
      </c>
      <c r="H80" s="2">
        <v>44621</v>
      </c>
      <c r="I80" s="1">
        <v>0.90200000000000002</v>
      </c>
      <c r="J80" s="1">
        <v>1.9890000000000001</v>
      </c>
      <c r="K80" s="1">
        <v>5</v>
      </c>
      <c r="L80" s="1" t="s">
        <v>14</v>
      </c>
    </row>
    <row r="81" spans="1:12" x14ac:dyDescent="0.25">
      <c r="A81" s="1" t="s">
        <v>1318</v>
      </c>
      <c r="B81" s="1" t="str">
        <f>("035829")</f>
        <v>035829</v>
      </c>
      <c r="C81" s="1" t="str">
        <f>("622454358294")</f>
        <v>622454358294</v>
      </c>
      <c r="D81" s="1">
        <v>401422</v>
      </c>
      <c r="E81" t="s">
        <v>102</v>
      </c>
      <c r="F81" s="3">
        <v>88.074468085106389</v>
      </c>
      <c r="G81" s="1" t="s">
        <v>13</v>
      </c>
      <c r="H81" s="2">
        <v>44621</v>
      </c>
      <c r="I81" s="1">
        <v>1.022</v>
      </c>
      <c r="J81" s="1">
        <v>2.2530000000000001</v>
      </c>
      <c r="K81" s="1">
        <v>5</v>
      </c>
      <c r="L81" s="1" t="s">
        <v>14</v>
      </c>
    </row>
    <row r="82" spans="1:12" x14ac:dyDescent="0.25">
      <c r="A82" s="1" t="s">
        <v>1318</v>
      </c>
      <c r="B82" s="1" t="str">
        <f>("035956")</f>
        <v>035956</v>
      </c>
      <c r="C82" s="1" t="str">
        <f>("622454359567")</f>
        <v>622454359567</v>
      </c>
      <c r="D82" s="1">
        <v>401486</v>
      </c>
      <c r="E82" t="s">
        <v>103</v>
      </c>
      <c r="F82" s="3">
        <v>206.44680851063831</v>
      </c>
      <c r="G82" s="1" t="s">
        <v>13</v>
      </c>
      <c r="H82" s="2">
        <v>44621</v>
      </c>
      <c r="I82" s="1">
        <v>1.0429999999999999</v>
      </c>
      <c r="J82" s="1">
        <v>2.2989999999999999</v>
      </c>
      <c r="K82" s="1">
        <v>5</v>
      </c>
      <c r="L82" s="1" t="s">
        <v>14</v>
      </c>
    </row>
    <row r="83" spans="1:12" x14ac:dyDescent="0.25">
      <c r="A83" s="1" t="s">
        <v>1318</v>
      </c>
      <c r="B83" s="1" t="str">
        <f>("035830")</f>
        <v>035830</v>
      </c>
      <c r="C83" s="1" t="str">
        <f>("622454358300")</f>
        <v>622454358300</v>
      </c>
      <c r="D83" s="1">
        <v>401488</v>
      </c>
      <c r="E83" t="s">
        <v>104</v>
      </c>
      <c r="F83" s="3">
        <v>206.44680851063831</v>
      </c>
      <c r="G83" s="1" t="s">
        <v>13</v>
      </c>
      <c r="H83" s="2">
        <v>44621</v>
      </c>
      <c r="I83" s="1">
        <v>1.4059999999999999</v>
      </c>
      <c r="J83" s="1">
        <v>3.1</v>
      </c>
      <c r="K83" s="1">
        <v>4</v>
      </c>
      <c r="L83" s="1" t="s">
        <v>14</v>
      </c>
    </row>
    <row r="84" spans="1:12" x14ac:dyDescent="0.25">
      <c r="A84" s="1" t="s">
        <v>1318</v>
      </c>
      <c r="B84" s="1" t="str">
        <f>("035831")</f>
        <v>035831</v>
      </c>
      <c r="C84" s="1" t="str">
        <f>("622454358317")</f>
        <v>622454358317</v>
      </c>
      <c r="D84" s="1">
        <v>401490</v>
      </c>
      <c r="E84" t="s">
        <v>105</v>
      </c>
      <c r="F84" s="3">
        <v>206.44680851063831</v>
      </c>
      <c r="G84" s="1" t="s">
        <v>13</v>
      </c>
      <c r="H84" s="2">
        <v>44621</v>
      </c>
      <c r="I84" s="1">
        <v>1.6779999999999999</v>
      </c>
      <c r="J84" s="1">
        <v>3.6989999999999998</v>
      </c>
      <c r="K84" s="1">
        <v>3</v>
      </c>
      <c r="L84" s="1" t="s">
        <v>14</v>
      </c>
    </row>
    <row r="85" spans="1:12" x14ac:dyDescent="0.25">
      <c r="A85" s="1" t="s">
        <v>1318</v>
      </c>
      <c r="B85" s="1" t="str">
        <f>("035832")</f>
        <v>035832</v>
      </c>
      <c r="C85" s="1" t="str">
        <f>("622454358324")</f>
        <v>622454358324</v>
      </c>
      <c r="D85" s="1">
        <v>401528</v>
      </c>
      <c r="E85" t="s">
        <v>106</v>
      </c>
      <c r="F85" s="3">
        <v>296.35106382978722</v>
      </c>
      <c r="G85" s="1" t="s">
        <v>13</v>
      </c>
      <c r="H85" s="2">
        <v>44621</v>
      </c>
      <c r="I85" s="1">
        <v>1.542</v>
      </c>
      <c r="J85" s="1">
        <v>3.4</v>
      </c>
      <c r="K85" s="1">
        <v>3</v>
      </c>
      <c r="L85" s="1" t="s">
        <v>14</v>
      </c>
    </row>
    <row r="86" spans="1:12" x14ac:dyDescent="0.25">
      <c r="A86" s="1" t="s">
        <v>1318</v>
      </c>
      <c r="B86" s="1" t="str">
        <f>("035833")</f>
        <v>035833</v>
      </c>
      <c r="C86" s="1" t="str">
        <f>("622454358331")</f>
        <v>622454358331</v>
      </c>
      <c r="D86" s="1">
        <v>401530</v>
      </c>
      <c r="E86" t="s">
        <v>107</v>
      </c>
      <c r="F86" s="3">
        <v>296.35106382978722</v>
      </c>
      <c r="G86" s="1" t="s">
        <v>13</v>
      </c>
      <c r="H86" s="2">
        <v>44621</v>
      </c>
      <c r="I86" s="1">
        <v>2.992</v>
      </c>
      <c r="J86" s="1">
        <v>6.5960000000000001</v>
      </c>
      <c r="K86" s="1">
        <v>5</v>
      </c>
      <c r="L86" s="1" t="s">
        <v>14</v>
      </c>
    </row>
    <row r="87" spans="1:12" x14ac:dyDescent="0.25">
      <c r="A87" s="1" t="s">
        <v>1318</v>
      </c>
      <c r="B87" s="1" t="str">
        <f>("035834")</f>
        <v>035834</v>
      </c>
      <c r="C87" s="1" t="str">
        <f>("622454358348")</f>
        <v>622454358348</v>
      </c>
      <c r="D87" s="1">
        <v>401532</v>
      </c>
      <c r="E87" t="s">
        <v>108</v>
      </c>
      <c r="F87" s="3">
        <v>296.35106382978722</v>
      </c>
      <c r="G87" s="1" t="s">
        <v>13</v>
      </c>
      <c r="H87" s="2">
        <v>44621</v>
      </c>
      <c r="I87" s="1">
        <v>3.028</v>
      </c>
      <c r="J87" s="1">
        <v>6.6760000000000002</v>
      </c>
      <c r="K87" s="1">
        <v>5</v>
      </c>
      <c r="L87" s="1" t="s">
        <v>14</v>
      </c>
    </row>
    <row r="88" spans="1:12" x14ac:dyDescent="0.25">
      <c r="A88" s="1" t="s">
        <v>1318</v>
      </c>
      <c r="B88" s="1" t="str">
        <f>("035835")</f>
        <v>035835</v>
      </c>
      <c r="C88" s="1" t="str">
        <f>("622454358355")</f>
        <v>622454358355</v>
      </c>
      <c r="D88" s="1">
        <v>401580</v>
      </c>
      <c r="E88" t="s">
        <v>109</v>
      </c>
      <c r="F88" s="3">
        <v>687.32978723404267</v>
      </c>
      <c r="G88" s="1" t="s">
        <v>13</v>
      </c>
      <c r="H88" s="2">
        <v>44621</v>
      </c>
      <c r="I88" s="1">
        <v>3.4470000000000001</v>
      </c>
      <c r="J88" s="1">
        <v>7.5990000000000002</v>
      </c>
      <c r="K88" s="1">
        <v>2</v>
      </c>
      <c r="L88" s="1" t="s">
        <v>14</v>
      </c>
    </row>
    <row r="89" spans="1:12" x14ac:dyDescent="0.25">
      <c r="A89" s="1" t="s">
        <v>1318</v>
      </c>
      <c r="B89" s="1" t="str">
        <f>("035836")</f>
        <v>035836</v>
      </c>
      <c r="C89" s="1" t="str">
        <f>("622454358362")</f>
        <v>622454358362</v>
      </c>
      <c r="D89" s="1">
        <v>401582</v>
      </c>
      <c r="E89" t="s">
        <v>110</v>
      </c>
      <c r="F89" s="3">
        <v>687.32978723404267</v>
      </c>
      <c r="G89" s="1" t="s">
        <v>13</v>
      </c>
      <c r="H89" s="2">
        <v>44621</v>
      </c>
      <c r="I89" s="1">
        <v>3.6739999999999999</v>
      </c>
      <c r="J89" s="1">
        <v>8.1</v>
      </c>
      <c r="K89" s="1">
        <v>2</v>
      </c>
      <c r="L89" s="1" t="s">
        <v>14</v>
      </c>
    </row>
    <row r="90" spans="1:12" x14ac:dyDescent="0.25">
      <c r="A90" s="1" t="s">
        <v>1318</v>
      </c>
      <c r="B90" s="1" t="str">
        <f>("035837")</f>
        <v>035837</v>
      </c>
      <c r="C90" s="1" t="str">
        <f>("622454358379")</f>
        <v>622454358379</v>
      </c>
      <c r="D90" s="1">
        <v>401585</v>
      </c>
      <c r="E90" t="s">
        <v>111</v>
      </c>
      <c r="F90" s="3">
        <v>687.32978723404267</v>
      </c>
      <c r="G90" s="1" t="s">
        <v>13</v>
      </c>
      <c r="H90" s="2">
        <v>44621</v>
      </c>
      <c r="I90" s="1">
        <v>6.9889999999999999</v>
      </c>
      <c r="J90" s="1">
        <v>15.407999999999999</v>
      </c>
      <c r="K90" s="1">
        <v>2</v>
      </c>
      <c r="L90" s="1" t="s">
        <v>14</v>
      </c>
    </row>
    <row r="91" spans="1:12" x14ac:dyDescent="0.25">
      <c r="A91" s="1" t="s">
        <v>1318</v>
      </c>
      <c r="B91" s="1" t="str">
        <f>("125159")</f>
        <v>125159</v>
      </c>
      <c r="C91" s="1" t="str">
        <f>("622454459786")</f>
        <v>622454459786</v>
      </c>
      <c r="D91" s="1" t="s">
        <v>112</v>
      </c>
      <c r="E91" t="s">
        <v>113</v>
      </c>
      <c r="F91" s="3">
        <v>1029.69</v>
      </c>
      <c r="G91" s="1" t="s">
        <v>13</v>
      </c>
      <c r="H91" s="2">
        <v>44621</v>
      </c>
      <c r="I91" s="1">
        <v>7.0220000000000002</v>
      </c>
      <c r="J91" s="1">
        <v>15.481</v>
      </c>
      <c r="L91" s="1" t="s">
        <v>31</v>
      </c>
    </row>
    <row r="92" spans="1:12" x14ac:dyDescent="0.25">
      <c r="A92" s="1" t="s">
        <v>1318</v>
      </c>
      <c r="B92" s="1" t="str">
        <f>("125166")</f>
        <v>125166</v>
      </c>
      <c r="C92" s="1" t="str">
        <f>("622454459854")</f>
        <v>622454459854</v>
      </c>
      <c r="D92" s="1" t="s">
        <v>114</v>
      </c>
      <c r="E92" t="s">
        <v>115</v>
      </c>
      <c r="F92" s="3">
        <v>1164.44</v>
      </c>
      <c r="G92" s="1" t="s">
        <v>13</v>
      </c>
      <c r="H92" s="2">
        <v>44621</v>
      </c>
      <c r="I92" s="1">
        <v>9.1929999999999996</v>
      </c>
      <c r="J92" s="1">
        <v>20.266999999999999</v>
      </c>
      <c r="L92" s="1" t="s">
        <v>31</v>
      </c>
    </row>
    <row r="93" spans="1:12" x14ac:dyDescent="0.25">
      <c r="A93" s="1" t="s">
        <v>1318</v>
      </c>
      <c r="B93" s="1" t="str">
        <f>("125171")</f>
        <v>125171</v>
      </c>
      <c r="C93" s="1" t="str">
        <f>("622454459908")</f>
        <v>622454459908</v>
      </c>
      <c r="D93" s="1" t="s">
        <v>116</v>
      </c>
      <c r="E93" t="s">
        <v>117</v>
      </c>
      <c r="F93" s="3">
        <v>1306.3599999999999</v>
      </c>
      <c r="G93" s="1" t="s">
        <v>13</v>
      </c>
      <c r="H93" s="2">
        <v>44621</v>
      </c>
      <c r="I93" s="1">
        <v>11.125999999999999</v>
      </c>
      <c r="J93" s="1">
        <v>24.529</v>
      </c>
      <c r="L93" s="1" t="s">
        <v>31</v>
      </c>
    </row>
    <row r="94" spans="1:12" x14ac:dyDescent="0.25">
      <c r="A94" s="1" t="s">
        <v>1318</v>
      </c>
      <c r="B94" s="1" t="str">
        <f>("125178")</f>
        <v>125178</v>
      </c>
      <c r="C94" s="1" t="str">
        <f>("622454459977")</f>
        <v>622454459977</v>
      </c>
      <c r="D94" s="1" t="s">
        <v>118</v>
      </c>
      <c r="E94" t="s">
        <v>119</v>
      </c>
      <c r="F94" s="3">
        <v>1369.33</v>
      </c>
      <c r="G94" s="1" t="s">
        <v>13</v>
      </c>
      <c r="H94" s="2">
        <v>44621</v>
      </c>
      <c r="I94" s="1">
        <v>9.9830000000000005</v>
      </c>
      <c r="J94" s="1">
        <v>22.009</v>
      </c>
      <c r="L94" s="1" t="s">
        <v>31</v>
      </c>
    </row>
    <row r="95" spans="1:12" x14ac:dyDescent="0.25">
      <c r="A95" s="1" t="s">
        <v>1318</v>
      </c>
      <c r="B95" s="1" t="str">
        <f>("125184")</f>
        <v>125184</v>
      </c>
      <c r="C95" s="1" t="str">
        <f>("622454460096")</f>
        <v>622454460096</v>
      </c>
      <c r="D95" s="1" t="s">
        <v>120</v>
      </c>
      <c r="E95" t="s">
        <v>121</v>
      </c>
      <c r="F95" s="3">
        <v>1456.53</v>
      </c>
      <c r="G95" s="1" t="s">
        <v>13</v>
      </c>
      <c r="H95" s="2">
        <v>44621</v>
      </c>
      <c r="I95" s="1">
        <v>11.734</v>
      </c>
      <c r="J95" s="1">
        <v>25.869</v>
      </c>
      <c r="L95" s="1" t="s">
        <v>31</v>
      </c>
    </row>
    <row r="96" spans="1:12" x14ac:dyDescent="0.25">
      <c r="A96" s="1" t="s">
        <v>1318</v>
      </c>
      <c r="B96" s="1" t="str">
        <f>("125189")</f>
        <v>125189</v>
      </c>
      <c r="C96" s="1" t="str">
        <f>("622454460140")</f>
        <v>622454460140</v>
      </c>
      <c r="D96" s="1" t="s">
        <v>122</v>
      </c>
      <c r="E96" t="s">
        <v>123</v>
      </c>
      <c r="F96" s="3">
        <v>1622.24</v>
      </c>
      <c r="G96" s="1" t="s">
        <v>13</v>
      </c>
      <c r="H96" s="2">
        <v>44621</v>
      </c>
      <c r="I96" s="1">
        <v>13.647</v>
      </c>
      <c r="J96" s="1">
        <v>30.085999999999999</v>
      </c>
      <c r="L96" s="1" t="s">
        <v>31</v>
      </c>
    </row>
    <row r="97" spans="1:12" x14ac:dyDescent="0.25">
      <c r="A97" s="1" t="s">
        <v>1318</v>
      </c>
      <c r="B97" s="1" t="str">
        <f>("125194")</f>
        <v>125194</v>
      </c>
      <c r="C97" s="1" t="str">
        <f>("622454460195")</f>
        <v>622454460195</v>
      </c>
      <c r="D97" s="1" t="s">
        <v>124</v>
      </c>
      <c r="E97" t="s">
        <v>125</v>
      </c>
      <c r="F97" s="3">
        <v>1802.57</v>
      </c>
      <c r="G97" s="1" t="s">
        <v>13</v>
      </c>
      <c r="H97" s="2">
        <v>44621</v>
      </c>
      <c r="I97" s="1">
        <v>15.878</v>
      </c>
      <c r="J97" s="1">
        <v>35.005000000000003</v>
      </c>
      <c r="L97" s="1" t="s">
        <v>31</v>
      </c>
    </row>
    <row r="98" spans="1:12" x14ac:dyDescent="0.25">
      <c r="A98" s="1" t="s">
        <v>1318</v>
      </c>
      <c r="B98" s="1" t="str">
        <f>("125199")</f>
        <v>125199</v>
      </c>
      <c r="C98" s="1" t="str">
        <f>("622454460249")</f>
        <v>622454460249</v>
      </c>
      <c r="D98" s="1" t="s">
        <v>126</v>
      </c>
      <c r="E98" t="s">
        <v>127</v>
      </c>
      <c r="F98" s="3">
        <v>1501.51</v>
      </c>
      <c r="G98" s="1" t="s">
        <v>13</v>
      </c>
      <c r="H98" s="2">
        <v>44621</v>
      </c>
      <c r="I98" s="1">
        <v>11.092000000000001</v>
      </c>
      <c r="J98" s="1">
        <v>24.454000000000001</v>
      </c>
      <c r="L98" s="1" t="s">
        <v>31</v>
      </c>
    </row>
    <row r="99" spans="1:12" x14ac:dyDescent="0.25">
      <c r="A99" s="1" t="s">
        <v>1318</v>
      </c>
      <c r="B99" s="1" t="str">
        <f>("125200")</f>
        <v>125200</v>
      </c>
      <c r="C99" s="1" t="str">
        <f>("622454460256")</f>
        <v>622454460256</v>
      </c>
      <c r="D99" s="1" t="s">
        <v>128</v>
      </c>
      <c r="E99" t="s">
        <v>129</v>
      </c>
      <c r="F99" s="3">
        <v>1635.83</v>
      </c>
      <c r="G99" s="1" t="s">
        <v>13</v>
      </c>
      <c r="H99" s="2">
        <v>44621</v>
      </c>
      <c r="I99" s="1">
        <v>12.593999999999999</v>
      </c>
      <c r="J99" s="1">
        <v>27.765000000000001</v>
      </c>
      <c r="L99" s="1" t="s">
        <v>31</v>
      </c>
    </row>
    <row r="100" spans="1:12" x14ac:dyDescent="0.25">
      <c r="A100" s="1" t="s">
        <v>1318</v>
      </c>
      <c r="B100" s="1" t="str">
        <f>("125201")</f>
        <v>125201</v>
      </c>
      <c r="C100" s="1" t="str">
        <f>("622454460263")</f>
        <v>622454460263</v>
      </c>
      <c r="D100" s="1" t="s">
        <v>130</v>
      </c>
      <c r="E100" t="s">
        <v>131</v>
      </c>
      <c r="F100" s="3">
        <v>1739.68</v>
      </c>
      <c r="G100" s="1" t="s">
        <v>13</v>
      </c>
      <c r="H100" s="2">
        <v>44621</v>
      </c>
      <c r="I100" s="1">
        <v>12.907999999999999</v>
      </c>
      <c r="J100" s="1">
        <v>28.457000000000001</v>
      </c>
      <c r="L100" s="1" t="s">
        <v>31</v>
      </c>
    </row>
    <row r="101" spans="1:12" x14ac:dyDescent="0.25">
      <c r="A101" s="1" t="s">
        <v>1318</v>
      </c>
      <c r="B101" s="1" t="str">
        <f>("125206")</f>
        <v>125206</v>
      </c>
      <c r="C101" s="1" t="str">
        <f>("622454460317")</f>
        <v>622454460317</v>
      </c>
      <c r="D101" s="1" t="s">
        <v>132</v>
      </c>
      <c r="E101" t="s">
        <v>133</v>
      </c>
      <c r="F101" s="3">
        <v>1843.51</v>
      </c>
      <c r="G101" s="1" t="s">
        <v>13</v>
      </c>
      <c r="H101" s="2">
        <v>44621</v>
      </c>
      <c r="I101" s="1">
        <v>15.301</v>
      </c>
      <c r="J101" s="1">
        <v>33.732999999999997</v>
      </c>
      <c r="L101" s="1" t="s">
        <v>31</v>
      </c>
    </row>
    <row r="102" spans="1:12" x14ac:dyDescent="0.25">
      <c r="A102" s="1" t="s">
        <v>1318</v>
      </c>
      <c r="B102" s="1" t="str">
        <f>("125211")</f>
        <v>125211</v>
      </c>
      <c r="C102" s="1" t="str">
        <f>("622454460362")</f>
        <v>622454460362</v>
      </c>
      <c r="D102" s="1" t="s">
        <v>134</v>
      </c>
      <c r="E102" t="s">
        <v>135</v>
      </c>
      <c r="F102" s="3">
        <v>1942.8</v>
      </c>
      <c r="G102" s="1" t="s">
        <v>13</v>
      </c>
      <c r="H102" s="2">
        <v>44621</v>
      </c>
      <c r="I102" s="1">
        <v>18.350000000000001</v>
      </c>
      <c r="J102" s="1">
        <v>40.454999999999998</v>
      </c>
      <c r="L102" s="1" t="s">
        <v>31</v>
      </c>
    </row>
    <row r="103" spans="1:12" x14ac:dyDescent="0.25">
      <c r="A103" s="1" t="s">
        <v>1318</v>
      </c>
      <c r="B103" s="1" t="str">
        <f>("125216")</f>
        <v>125216</v>
      </c>
      <c r="C103" s="1" t="str">
        <f>("622454460416")</f>
        <v>622454460416</v>
      </c>
      <c r="D103" s="1" t="s">
        <v>136</v>
      </c>
      <c r="E103" t="s">
        <v>137</v>
      </c>
      <c r="F103" s="3">
        <v>2273.8000000000002</v>
      </c>
      <c r="G103" s="1" t="s">
        <v>13</v>
      </c>
      <c r="H103" s="2">
        <v>44621</v>
      </c>
      <c r="I103" s="1">
        <v>20.268999999999998</v>
      </c>
      <c r="J103" s="1">
        <v>44.685000000000002</v>
      </c>
      <c r="L103" s="1" t="s">
        <v>31</v>
      </c>
    </row>
    <row r="104" spans="1:12" x14ac:dyDescent="0.25">
      <c r="A104" s="1" t="s">
        <v>1318</v>
      </c>
      <c r="B104" s="1" t="str">
        <f>("125221")</f>
        <v>125221</v>
      </c>
      <c r="C104" s="1" t="str">
        <f>("622454460461")</f>
        <v>622454460461</v>
      </c>
      <c r="D104" s="1" t="s">
        <v>138</v>
      </c>
      <c r="E104" t="s">
        <v>139</v>
      </c>
      <c r="F104" s="3">
        <v>2582.8000000000002</v>
      </c>
      <c r="G104" s="1" t="s">
        <v>13</v>
      </c>
      <c r="H104" s="2">
        <v>44621</v>
      </c>
      <c r="I104" s="1">
        <v>22.707999999999998</v>
      </c>
      <c r="J104" s="1">
        <v>50.063000000000002</v>
      </c>
      <c r="L104" s="1" t="s">
        <v>31</v>
      </c>
    </row>
    <row r="105" spans="1:12" x14ac:dyDescent="0.25">
      <c r="A105" s="1" t="s">
        <v>1318</v>
      </c>
      <c r="B105" s="1" t="str">
        <f>("125227")</f>
        <v>125227</v>
      </c>
      <c r="C105" s="1" t="str">
        <f>("622454460522")</f>
        <v>622454460522</v>
      </c>
      <c r="D105" s="1" t="s">
        <v>140</v>
      </c>
      <c r="E105" t="s">
        <v>141</v>
      </c>
      <c r="F105" s="3">
        <v>1866.06</v>
      </c>
      <c r="G105" s="1" t="s">
        <v>13</v>
      </c>
      <c r="H105" s="2">
        <v>44621</v>
      </c>
      <c r="I105" s="1">
        <v>17.75</v>
      </c>
      <c r="J105" s="1">
        <v>39.131999999999998</v>
      </c>
      <c r="L105" s="1" t="s">
        <v>31</v>
      </c>
    </row>
    <row r="106" spans="1:12" x14ac:dyDescent="0.25">
      <c r="A106" s="1" t="s">
        <v>1318</v>
      </c>
      <c r="B106" s="1" t="str">
        <f>("125232")</f>
        <v>125232</v>
      </c>
      <c r="C106" s="1" t="str">
        <f>("622454460577")</f>
        <v>622454460577</v>
      </c>
      <c r="D106" s="1" t="s">
        <v>142</v>
      </c>
      <c r="E106" t="s">
        <v>143</v>
      </c>
      <c r="F106" s="3">
        <v>1989.85</v>
      </c>
      <c r="G106" s="1" t="s">
        <v>13</v>
      </c>
      <c r="H106" s="2">
        <v>44621</v>
      </c>
      <c r="I106" s="1">
        <v>22.058</v>
      </c>
      <c r="J106" s="1">
        <v>48.63</v>
      </c>
      <c r="L106" s="1" t="s">
        <v>31</v>
      </c>
    </row>
    <row r="107" spans="1:12" x14ac:dyDescent="0.25">
      <c r="A107" s="1" t="s">
        <v>1318</v>
      </c>
      <c r="B107" s="1" t="str">
        <f>("125237")</f>
        <v>125237</v>
      </c>
      <c r="C107" s="1" t="str">
        <f>("622454460621")</f>
        <v>622454460621</v>
      </c>
      <c r="D107" s="1" t="s">
        <v>144</v>
      </c>
      <c r="E107" t="s">
        <v>145</v>
      </c>
      <c r="F107" s="3">
        <v>2187.14</v>
      </c>
      <c r="G107" s="1" t="s">
        <v>13</v>
      </c>
      <c r="H107" s="2">
        <v>44621</v>
      </c>
      <c r="I107" s="1">
        <v>23.315000000000001</v>
      </c>
      <c r="J107" s="1">
        <v>51.401000000000003</v>
      </c>
      <c r="L107" s="1" t="s">
        <v>31</v>
      </c>
    </row>
    <row r="108" spans="1:12" x14ac:dyDescent="0.25">
      <c r="A108" s="1" t="s">
        <v>1318</v>
      </c>
      <c r="B108" s="1" t="str">
        <f>("125242")</f>
        <v>125242</v>
      </c>
      <c r="C108" s="1" t="str">
        <f>("622454460676")</f>
        <v>622454460676</v>
      </c>
      <c r="D108" s="1" t="s">
        <v>146</v>
      </c>
      <c r="E108" t="s">
        <v>147</v>
      </c>
      <c r="F108" s="3">
        <v>2384.17</v>
      </c>
      <c r="G108" s="1" t="s">
        <v>13</v>
      </c>
      <c r="H108" s="2">
        <v>44621</v>
      </c>
      <c r="I108" s="1">
        <v>28.166</v>
      </c>
      <c r="J108" s="1">
        <v>62.094999999999999</v>
      </c>
      <c r="L108" s="1" t="s">
        <v>31</v>
      </c>
    </row>
    <row r="109" spans="1:12" x14ac:dyDescent="0.25">
      <c r="A109" s="1" t="s">
        <v>1318</v>
      </c>
      <c r="B109" s="1" t="str">
        <f>("125247")</f>
        <v>125247</v>
      </c>
      <c r="C109" s="1" t="str">
        <f>("622454460720")</f>
        <v>622454460720</v>
      </c>
      <c r="D109" s="1" t="s">
        <v>148</v>
      </c>
      <c r="E109" t="s">
        <v>149</v>
      </c>
      <c r="F109" s="3">
        <v>2777.54</v>
      </c>
      <c r="G109" s="1" t="s">
        <v>13</v>
      </c>
      <c r="H109" s="2">
        <v>44621</v>
      </c>
      <c r="I109" s="1">
        <v>30.917999999999999</v>
      </c>
      <c r="J109" s="1">
        <v>68.162000000000006</v>
      </c>
      <c r="L109" s="1" t="s">
        <v>31</v>
      </c>
    </row>
    <row r="110" spans="1:12" x14ac:dyDescent="0.25">
      <c r="A110" s="1" t="s">
        <v>1318</v>
      </c>
      <c r="B110" s="1" t="str">
        <f>("125252")</f>
        <v>125252</v>
      </c>
      <c r="C110" s="1" t="str">
        <f>("622454460775")</f>
        <v>622454460775</v>
      </c>
      <c r="D110" s="1" t="s">
        <v>150</v>
      </c>
      <c r="E110" t="s">
        <v>151</v>
      </c>
      <c r="F110" s="3">
        <v>3320.73</v>
      </c>
      <c r="G110" s="1" t="s">
        <v>13</v>
      </c>
      <c r="H110" s="2">
        <v>44621</v>
      </c>
      <c r="I110" s="1">
        <v>32.941000000000003</v>
      </c>
      <c r="J110" s="1">
        <v>72.622</v>
      </c>
      <c r="L110" s="1" t="s">
        <v>31</v>
      </c>
    </row>
    <row r="111" spans="1:12" x14ac:dyDescent="0.25">
      <c r="A111" s="1" t="s">
        <v>1318</v>
      </c>
      <c r="B111" s="1" t="str">
        <f>("125257")</f>
        <v>125257</v>
      </c>
      <c r="C111" s="1" t="str">
        <f>("622454460829")</f>
        <v>622454460829</v>
      </c>
      <c r="D111" s="1" t="s">
        <v>152</v>
      </c>
      <c r="E111" t="s">
        <v>153</v>
      </c>
      <c r="F111" s="3">
        <v>1923.55</v>
      </c>
      <c r="G111" s="1" t="s">
        <v>13</v>
      </c>
      <c r="H111" s="2">
        <v>44621</v>
      </c>
      <c r="I111" s="1">
        <v>26.707999999999998</v>
      </c>
      <c r="J111" s="1">
        <v>58.881</v>
      </c>
      <c r="L111" s="1" t="s">
        <v>31</v>
      </c>
    </row>
    <row r="112" spans="1:12" x14ac:dyDescent="0.25">
      <c r="A112" s="1" t="s">
        <v>1318</v>
      </c>
      <c r="B112" s="1" t="str">
        <f>("125258")</f>
        <v>125258</v>
      </c>
      <c r="C112" s="1" t="str">
        <f>("622454460836")</f>
        <v>622454460836</v>
      </c>
      <c r="D112" s="1" t="s">
        <v>154</v>
      </c>
      <c r="E112" t="s">
        <v>155</v>
      </c>
      <c r="F112" s="3">
        <v>2205.96</v>
      </c>
      <c r="G112" s="1" t="s">
        <v>13</v>
      </c>
      <c r="H112" s="2">
        <v>44621</v>
      </c>
      <c r="I112" s="1">
        <v>27.571999999999999</v>
      </c>
      <c r="J112" s="1">
        <v>60.786000000000001</v>
      </c>
      <c r="L112" s="1" t="s">
        <v>31</v>
      </c>
    </row>
    <row r="113" spans="1:12" x14ac:dyDescent="0.25">
      <c r="A113" s="1" t="s">
        <v>1318</v>
      </c>
      <c r="B113" s="1" t="str">
        <f>("125259")</f>
        <v>125259</v>
      </c>
      <c r="C113" s="1" t="str">
        <f>("622454460843")</f>
        <v>622454460843</v>
      </c>
      <c r="D113" s="1" t="s">
        <v>156</v>
      </c>
      <c r="E113" t="s">
        <v>157</v>
      </c>
      <c r="F113" s="3">
        <v>2420.4499999999998</v>
      </c>
      <c r="G113" s="1" t="s">
        <v>13</v>
      </c>
      <c r="H113" s="2">
        <v>44621</v>
      </c>
      <c r="I113" s="1">
        <v>32.996000000000002</v>
      </c>
      <c r="J113" s="1">
        <v>72.744</v>
      </c>
      <c r="L113" s="1" t="s">
        <v>31</v>
      </c>
    </row>
    <row r="114" spans="1:12" x14ac:dyDescent="0.25">
      <c r="A114" s="1" t="s">
        <v>1318</v>
      </c>
      <c r="B114" s="1" t="str">
        <f>("125260")</f>
        <v>125260</v>
      </c>
      <c r="C114" s="1" t="str">
        <f>("622454460850")</f>
        <v>622454460850</v>
      </c>
      <c r="D114" s="1" t="s">
        <v>158</v>
      </c>
      <c r="E114" t="s">
        <v>159</v>
      </c>
      <c r="F114" s="3">
        <v>2877.21</v>
      </c>
      <c r="G114" s="1" t="s">
        <v>13</v>
      </c>
      <c r="H114" s="2">
        <v>44621</v>
      </c>
      <c r="I114" s="1">
        <v>34.613</v>
      </c>
      <c r="J114" s="1">
        <v>76.308999999999997</v>
      </c>
      <c r="L114" s="1" t="s">
        <v>31</v>
      </c>
    </row>
    <row r="115" spans="1:12" x14ac:dyDescent="0.25">
      <c r="A115" s="1" t="s">
        <v>1318</v>
      </c>
      <c r="B115" s="1" t="str">
        <f>("125261")</f>
        <v>125261</v>
      </c>
      <c r="C115" s="1" t="str">
        <f>("622454460867")</f>
        <v>622454460867</v>
      </c>
      <c r="D115" s="1" t="s">
        <v>160</v>
      </c>
      <c r="E115" t="s">
        <v>161</v>
      </c>
      <c r="F115" s="3">
        <v>2983.61</v>
      </c>
      <c r="G115" s="1" t="s">
        <v>13</v>
      </c>
      <c r="H115" s="2">
        <v>44621</v>
      </c>
      <c r="I115" s="1">
        <v>37.338999999999999</v>
      </c>
      <c r="J115" s="1">
        <v>82.317999999999998</v>
      </c>
      <c r="L115" s="1" t="s">
        <v>31</v>
      </c>
    </row>
    <row r="116" spans="1:12" x14ac:dyDescent="0.25">
      <c r="A116" s="1" t="s">
        <v>1318</v>
      </c>
      <c r="B116" s="1" t="str">
        <f>("125262")</f>
        <v>125262</v>
      </c>
      <c r="C116" s="1" t="str">
        <f>("622454460874")</f>
        <v>622454460874</v>
      </c>
      <c r="D116" s="1" t="s">
        <v>162</v>
      </c>
      <c r="E116" t="s">
        <v>163</v>
      </c>
      <c r="F116" s="3">
        <v>3935.13</v>
      </c>
      <c r="G116" s="1" t="s">
        <v>13</v>
      </c>
      <c r="H116" s="2">
        <v>44621</v>
      </c>
      <c r="I116" s="1">
        <v>45.463000000000001</v>
      </c>
      <c r="J116" s="1">
        <v>100.229</v>
      </c>
      <c r="L116" s="1" t="s">
        <v>31</v>
      </c>
    </row>
    <row r="117" spans="1:12" x14ac:dyDescent="0.25">
      <c r="A117" s="1" t="s">
        <v>1318</v>
      </c>
      <c r="B117" s="1" t="str">
        <f>("125263")</f>
        <v>125263</v>
      </c>
      <c r="C117" s="1" t="str">
        <f>("622454460881")</f>
        <v>622454460881</v>
      </c>
      <c r="D117" s="1" t="s">
        <v>164</v>
      </c>
      <c r="E117" t="s">
        <v>165</v>
      </c>
      <c r="F117" s="3">
        <v>4517.3900000000003</v>
      </c>
      <c r="G117" s="1" t="s">
        <v>13</v>
      </c>
      <c r="H117" s="2">
        <v>44621</v>
      </c>
      <c r="I117" s="1">
        <v>49.363999999999997</v>
      </c>
      <c r="J117" s="1">
        <v>108.82899999999999</v>
      </c>
      <c r="L117" s="1" t="s">
        <v>31</v>
      </c>
    </row>
    <row r="118" spans="1:12" x14ac:dyDescent="0.25">
      <c r="A118" s="1" t="s">
        <v>1318</v>
      </c>
      <c r="B118" s="1" t="str">
        <f>("125264")</f>
        <v>125264</v>
      </c>
      <c r="C118" s="1" t="str">
        <f>("622454460898")</f>
        <v>622454460898</v>
      </c>
      <c r="D118" s="1" t="s">
        <v>166</v>
      </c>
      <c r="E118" t="s">
        <v>167</v>
      </c>
      <c r="F118" s="3">
        <v>2428.14</v>
      </c>
      <c r="G118" s="1" t="s">
        <v>13</v>
      </c>
      <c r="H118" s="2">
        <v>44621</v>
      </c>
      <c r="I118" s="1">
        <v>36.223999999999997</v>
      </c>
      <c r="J118" s="1">
        <v>79.86</v>
      </c>
      <c r="L118" s="1" t="s">
        <v>31</v>
      </c>
    </row>
    <row r="119" spans="1:12" x14ac:dyDescent="0.25">
      <c r="A119" s="1" t="s">
        <v>1318</v>
      </c>
      <c r="B119" s="1" t="str">
        <f>("125265")</f>
        <v>125265</v>
      </c>
      <c r="C119" s="1" t="str">
        <f>("622454460904")</f>
        <v>622454460904</v>
      </c>
      <c r="D119" s="1" t="s">
        <v>168</v>
      </c>
      <c r="E119" t="s">
        <v>169</v>
      </c>
      <c r="F119" s="3">
        <v>2466.66</v>
      </c>
      <c r="G119" s="1" t="s">
        <v>13</v>
      </c>
      <c r="H119" s="2">
        <v>44621</v>
      </c>
      <c r="I119" s="1">
        <v>37.088000000000001</v>
      </c>
      <c r="J119" s="1">
        <v>81.765000000000001</v>
      </c>
      <c r="L119" s="1" t="s">
        <v>31</v>
      </c>
    </row>
    <row r="120" spans="1:12" x14ac:dyDescent="0.25">
      <c r="A120" s="1" t="s">
        <v>1318</v>
      </c>
      <c r="B120" s="1" t="str">
        <f>("125266")</f>
        <v>125266</v>
      </c>
      <c r="C120" s="1" t="str">
        <f>("622454460911")</f>
        <v>622454460911</v>
      </c>
      <c r="D120" s="1" t="s">
        <v>170</v>
      </c>
      <c r="E120" t="s">
        <v>171</v>
      </c>
      <c r="F120" s="3">
        <v>2565.15</v>
      </c>
      <c r="G120" s="1" t="s">
        <v>13</v>
      </c>
      <c r="H120" s="2">
        <v>44621</v>
      </c>
      <c r="I120" s="1">
        <v>38.338999999999999</v>
      </c>
      <c r="J120" s="1">
        <v>84.522999999999996</v>
      </c>
      <c r="L120" s="1" t="s">
        <v>31</v>
      </c>
    </row>
    <row r="121" spans="1:12" x14ac:dyDescent="0.25">
      <c r="A121" s="1" t="s">
        <v>1318</v>
      </c>
      <c r="B121" s="1" t="str">
        <f>("125267")</f>
        <v>125267</v>
      </c>
      <c r="C121" s="1" t="str">
        <f>("622454460928")</f>
        <v>622454460928</v>
      </c>
      <c r="D121" s="1" t="s">
        <v>172</v>
      </c>
      <c r="E121" t="s">
        <v>173</v>
      </c>
      <c r="F121" s="3">
        <v>3178.02</v>
      </c>
      <c r="G121" s="1" t="s">
        <v>13</v>
      </c>
      <c r="H121" s="2">
        <v>44621</v>
      </c>
      <c r="I121" s="1">
        <v>46.902000000000001</v>
      </c>
      <c r="J121" s="1">
        <v>103.401</v>
      </c>
      <c r="L121" s="1" t="s">
        <v>31</v>
      </c>
    </row>
    <row r="122" spans="1:12" x14ac:dyDescent="0.25">
      <c r="A122" s="1" t="s">
        <v>1318</v>
      </c>
      <c r="B122" s="1" t="str">
        <f>("125268")</f>
        <v>125268</v>
      </c>
      <c r="C122" s="1" t="str">
        <f>("622454460935")</f>
        <v>622454460935</v>
      </c>
      <c r="D122" s="1" t="s">
        <v>174</v>
      </c>
      <c r="E122" t="s">
        <v>175</v>
      </c>
      <c r="F122" s="3">
        <v>3459.79</v>
      </c>
      <c r="G122" s="1" t="s">
        <v>13</v>
      </c>
      <c r="H122" s="2">
        <v>44621</v>
      </c>
      <c r="I122" s="1">
        <v>49.677</v>
      </c>
      <c r="J122" s="1">
        <v>109.51900000000001</v>
      </c>
      <c r="L122" s="1" t="s">
        <v>31</v>
      </c>
    </row>
    <row r="123" spans="1:12" x14ac:dyDescent="0.25">
      <c r="A123" s="1" t="s">
        <v>1318</v>
      </c>
      <c r="B123" s="1" t="str">
        <f>("125269")</f>
        <v>125269</v>
      </c>
      <c r="C123" s="1" t="str">
        <f>("622454460942")</f>
        <v>622454460942</v>
      </c>
      <c r="D123" s="1" t="s">
        <v>176</v>
      </c>
      <c r="E123" t="s">
        <v>177</v>
      </c>
      <c r="F123" s="3">
        <v>4372.38</v>
      </c>
      <c r="G123" s="1" t="s">
        <v>13</v>
      </c>
      <c r="H123" s="2">
        <v>44621</v>
      </c>
      <c r="I123" s="1">
        <v>51.698</v>
      </c>
      <c r="J123" s="1">
        <v>113.974</v>
      </c>
      <c r="L123" s="1" t="s">
        <v>31</v>
      </c>
    </row>
    <row r="124" spans="1:12" x14ac:dyDescent="0.25">
      <c r="A124" s="1" t="s">
        <v>1318</v>
      </c>
      <c r="B124" s="1" t="str">
        <f>("125270")</f>
        <v>125270</v>
      </c>
      <c r="C124" s="1" t="str">
        <f>("622454460959")</f>
        <v>622454460959</v>
      </c>
      <c r="D124" s="1" t="s">
        <v>178</v>
      </c>
      <c r="E124" t="s">
        <v>179</v>
      </c>
      <c r="F124" s="3">
        <v>5161.54</v>
      </c>
      <c r="G124" s="1" t="s">
        <v>13</v>
      </c>
      <c r="H124" s="2">
        <v>44621</v>
      </c>
      <c r="I124" s="1">
        <v>57.006</v>
      </c>
      <c r="J124" s="1">
        <v>125.67700000000001</v>
      </c>
      <c r="L124" s="1" t="s">
        <v>31</v>
      </c>
    </row>
    <row r="125" spans="1:12" x14ac:dyDescent="0.25">
      <c r="A125" s="1" t="s">
        <v>1318</v>
      </c>
      <c r="B125" s="1" t="str">
        <f>("125271")</f>
        <v>125271</v>
      </c>
      <c r="C125" s="1" t="str">
        <f>("622454460966")</f>
        <v>622454460966</v>
      </c>
      <c r="D125" s="1" t="s">
        <v>180</v>
      </c>
      <c r="E125" t="s">
        <v>181</v>
      </c>
      <c r="F125" s="3">
        <v>5736.83</v>
      </c>
      <c r="G125" s="1" t="s">
        <v>13</v>
      </c>
      <c r="H125" s="2">
        <v>44621</v>
      </c>
      <c r="I125" s="1">
        <v>73.346000000000004</v>
      </c>
      <c r="J125" s="1">
        <v>161.69999999999999</v>
      </c>
      <c r="L125" s="1" t="s">
        <v>31</v>
      </c>
    </row>
    <row r="126" spans="1:12" x14ac:dyDescent="0.25">
      <c r="A126" s="1" t="s">
        <v>1318</v>
      </c>
      <c r="B126" s="1" t="str">
        <f>("125272")</f>
        <v>125272</v>
      </c>
      <c r="C126" s="1" t="str">
        <f>("622454460973")</f>
        <v>622454460973</v>
      </c>
      <c r="D126" s="1" t="s">
        <v>182</v>
      </c>
      <c r="E126" t="s">
        <v>183</v>
      </c>
      <c r="F126" s="3">
        <v>4830.07</v>
      </c>
      <c r="G126" s="1" t="s">
        <v>13</v>
      </c>
      <c r="H126" s="2">
        <v>44621</v>
      </c>
      <c r="I126" s="1">
        <v>50.061999999999998</v>
      </c>
      <c r="J126" s="1">
        <v>110.36799999999999</v>
      </c>
      <c r="L126" s="1" t="s">
        <v>31</v>
      </c>
    </row>
    <row r="127" spans="1:12" x14ac:dyDescent="0.25">
      <c r="A127" s="1" t="s">
        <v>1318</v>
      </c>
      <c r="B127" s="1" t="str">
        <f>("125273")</f>
        <v>125273</v>
      </c>
      <c r="C127" s="1" t="str">
        <f>("622454460980")</f>
        <v>622454460980</v>
      </c>
      <c r="D127" s="1" t="s">
        <v>184</v>
      </c>
      <c r="E127" t="s">
        <v>185</v>
      </c>
      <c r="F127" s="3">
        <v>4961.28</v>
      </c>
      <c r="G127" s="1" t="s">
        <v>13</v>
      </c>
      <c r="H127" s="2">
        <v>44621</v>
      </c>
      <c r="I127" s="1">
        <v>60.787999999999997</v>
      </c>
      <c r="J127" s="1">
        <v>134.01400000000001</v>
      </c>
      <c r="L127" s="1" t="s">
        <v>31</v>
      </c>
    </row>
    <row r="128" spans="1:12" x14ac:dyDescent="0.25">
      <c r="A128" s="1" t="s">
        <v>1318</v>
      </c>
      <c r="B128" s="1" t="str">
        <f>("125274")</f>
        <v>125274</v>
      </c>
      <c r="C128" s="1" t="str">
        <f>("622454460997")</f>
        <v>622454460997</v>
      </c>
      <c r="D128" s="1" t="s">
        <v>186</v>
      </c>
      <c r="E128" t="s">
        <v>187</v>
      </c>
      <c r="F128" s="3">
        <v>5180.8100000000004</v>
      </c>
      <c r="G128" s="1" t="s">
        <v>13</v>
      </c>
      <c r="H128" s="2">
        <v>44621</v>
      </c>
      <c r="I128" s="1">
        <v>62.055</v>
      </c>
      <c r="J128" s="1">
        <v>136.80799999999999</v>
      </c>
      <c r="L128" s="1" t="s">
        <v>31</v>
      </c>
    </row>
    <row r="129" spans="1:12" x14ac:dyDescent="0.25">
      <c r="A129" s="1" t="s">
        <v>1318</v>
      </c>
      <c r="B129" s="1" t="str">
        <f>("125275")</f>
        <v>125275</v>
      </c>
      <c r="C129" s="1" t="str">
        <f>("622454461000")</f>
        <v>622454461000</v>
      </c>
      <c r="D129" s="1" t="s">
        <v>188</v>
      </c>
      <c r="E129" t="s">
        <v>189</v>
      </c>
      <c r="F129" s="3">
        <v>5294.38</v>
      </c>
      <c r="G129" s="1" t="s">
        <v>13</v>
      </c>
      <c r="H129" s="2">
        <v>44621</v>
      </c>
      <c r="I129" s="1">
        <v>63.793999999999997</v>
      </c>
      <c r="J129" s="1">
        <v>140.642</v>
      </c>
      <c r="L129" s="1" t="s">
        <v>31</v>
      </c>
    </row>
    <row r="130" spans="1:12" x14ac:dyDescent="0.25">
      <c r="A130" s="1" t="s">
        <v>1318</v>
      </c>
      <c r="B130" s="1" t="str">
        <f>("125276")</f>
        <v>125276</v>
      </c>
      <c r="C130" s="1" t="str">
        <f>("622454461024")</f>
        <v>622454461024</v>
      </c>
      <c r="D130" s="1" t="s">
        <v>190</v>
      </c>
      <c r="E130" t="s">
        <v>191</v>
      </c>
      <c r="F130" s="3">
        <v>5444.39</v>
      </c>
      <c r="G130" s="1" t="s">
        <v>13</v>
      </c>
      <c r="H130" s="2">
        <v>44621</v>
      </c>
      <c r="I130" s="1">
        <v>66.239999999999995</v>
      </c>
      <c r="J130" s="1">
        <v>146.03399999999999</v>
      </c>
      <c r="L130" s="1" t="s">
        <v>31</v>
      </c>
    </row>
    <row r="131" spans="1:12" x14ac:dyDescent="0.25">
      <c r="A131" s="1" t="s">
        <v>1318</v>
      </c>
      <c r="B131" s="1" t="str">
        <f>("125277")</f>
        <v>125277</v>
      </c>
      <c r="C131" s="1" t="str">
        <f>("622454461031")</f>
        <v>622454461031</v>
      </c>
      <c r="D131" s="1" t="s">
        <v>192</v>
      </c>
      <c r="E131" t="s">
        <v>193</v>
      </c>
      <c r="F131" s="3">
        <v>5844.76</v>
      </c>
      <c r="G131" s="1" t="s">
        <v>13</v>
      </c>
      <c r="H131" s="2">
        <v>44621</v>
      </c>
      <c r="I131" s="1">
        <v>83.057000000000002</v>
      </c>
      <c r="J131" s="1">
        <v>183.10900000000001</v>
      </c>
      <c r="L131" s="1" t="s">
        <v>31</v>
      </c>
    </row>
    <row r="132" spans="1:12" x14ac:dyDescent="0.25">
      <c r="A132" s="1" t="s">
        <v>1318</v>
      </c>
      <c r="B132" s="1" t="str">
        <f>("125278")</f>
        <v>125278</v>
      </c>
      <c r="C132" s="1" t="str">
        <f>("622454461055")</f>
        <v>622454461055</v>
      </c>
      <c r="D132" s="1" t="s">
        <v>194</v>
      </c>
      <c r="E132" t="s">
        <v>195</v>
      </c>
      <c r="F132" s="3">
        <v>6140.67</v>
      </c>
      <c r="G132" s="1" t="s">
        <v>13</v>
      </c>
      <c r="H132" s="2">
        <v>44621</v>
      </c>
      <c r="I132" s="1">
        <v>88.242000000000004</v>
      </c>
      <c r="J132" s="1">
        <v>194.54</v>
      </c>
      <c r="L132" s="1" t="s">
        <v>31</v>
      </c>
    </row>
    <row r="133" spans="1:12" x14ac:dyDescent="0.25">
      <c r="A133" s="1" t="s">
        <v>1318</v>
      </c>
      <c r="B133" s="1" t="str">
        <f>("125279")</f>
        <v>125279</v>
      </c>
      <c r="C133" s="1" t="str">
        <f>("622454461062")</f>
        <v>622454461062</v>
      </c>
      <c r="D133" s="1" t="s">
        <v>196</v>
      </c>
      <c r="E133" t="s">
        <v>197</v>
      </c>
      <c r="F133" s="3">
        <v>6710.18</v>
      </c>
      <c r="G133" s="1" t="s">
        <v>13</v>
      </c>
      <c r="H133" s="2">
        <v>44621</v>
      </c>
      <c r="I133" s="1">
        <v>94.111999999999995</v>
      </c>
      <c r="J133" s="1">
        <v>207.48099999999999</v>
      </c>
      <c r="L133" s="1" t="s">
        <v>31</v>
      </c>
    </row>
    <row r="134" spans="1:12" x14ac:dyDescent="0.25">
      <c r="A134" s="1" t="s">
        <v>1318</v>
      </c>
      <c r="B134" s="1" t="str">
        <f>("125280")</f>
        <v>125280</v>
      </c>
      <c r="C134" s="1" t="str">
        <f>("622454461086")</f>
        <v>622454461086</v>
      </c>
      <c r="D134" s="1" t="s">
        <v>198</v>
      </c>
      <c r="E134" t="s">
        <v>199</v>
      </c>
      <c r="F134" s="3">
        <v>7206.53</v>
      </c>
      <c r="G134" s="1" t="s">
        <v>13</v>
      </c>
      <c r="H134" s="2">
        <v>44621</v>
      </c>
      <c r="I134" s="1">
        <v>100.532</v>
      </c>
      <c r="J134" s="1">
        <v>221.63499999999999</v>
      </c>
      <c r="L134" s="1" t="s">
        <v>31</v>
      </c>
    </row>
    <row r="135" spans="1:12" x14ac:dyDescent="0.25">
      <c r="A135" s="1" t="s">
        <v>1318</v>
      </c>
      <c r="B135" s="1" t="str">
        <f>("035851")</f>
        <v>035851</v>
      </c>
      <c r="C135" s="1" t="str">
        <f>("622454358515")</f>
        <v>622454358515</v>
      </c>
      <c r="D135" s="1">
        <v>402005</v>
      </c>
      <c r="E135" t="s">
        <v>200</v>
      </c>
      <c r="F135" s="3">
        <v>2.5106382978723403</v>
      </c>
      <c r="G135" s="1" t="s">
        <v>13</v>
      </c>
      <c r="H135" s="2">
        <v>44621</v>
      </c>
      <c r="I135" s="1">
        <v>4.4999999999999998E-2</v>
      </c>
      <c r="J135" s="1">
        <v>9.9000000000000005E-2</v>
      </c>
      <c r="K135" s="1">
        <v>40</v>
      </c>
      <c r="L135" s="1" t="s">
        <v>14</v>
      </c>
    </row>
    <row r="136" spans="1:12" x14ac:dyDescent="0.25">
      <c r="A136" s="1" t="s">
        <v>1318</v>
      </c>
      <c r="B136" s="1" t="str">
        <f>("035852")</f>
        <v>035852</v>
      </c>
      <c r="C136" s="1" t="str">
        <f>("622454358522")</f>
        <v>622454358522</v>
      </c>
      <c r="D136" s="1">
        <v>402007</v>
      </c>
      <c r="E136" t="s">
        <v>201</v>
      </c>
      <c r="F136" s="3">
        <v>3.9042553191489362</v>
      </c>
      <c r="G136" s="1" t="s">
        <v>13</v>
      </c>
      <c r="H136" s="2">
        <v>44621</v>
      </c>
      <c r="I136" s="1">
        <v>0.06</v>
      </c>
      <c r="J136" s="1">
        <v>0.13200000000000001</v>
      </c>
      <c r="K136" s="1">
        <v>45</v>
      </c>
      <c r="L136" s="1" t="s">
        <v>14</v>
      </c>
    </row>
    <row r="137" spans="1:12" x14ac:dyDescent="0.25">
      <c r="A137" s="1" t="s">
        <v>1318</v>
      </c>
      <c r="B137" s="1" t="str">
        <f>("035853")</f>
        <v>035853</v>
      </c>
      <c r="C137" s="1" t="str">
        <f>("622454358539")</f>
        <v>622454358539</v>
      </c>
      <c r="D137" s="1">
        <v>402010</v>
      </c>
      <c r="E137" t="s">
        <v>202</v>
      </c>
      <c r="F137" s="3">
        <v>7.1914893617021276</v>
      </c>
      <c r="G137" s="1" t="s">
        <v>13</v>
      </c>
      <c r="H137" s="2">
        <v>44621</v>
      </c>
      <c r="I137" s="1">
        <v>7.6999999999999999E-2</v>
      </c>
      <c r="J137" s="1">
        <v>0.17</v>
      </c>
      <c r="K137" s="1">
        <v>50</v>
      </c>
      <c r="L137" s="1" t="s">
        <v>14</v>
      </c>
    </row>
    <row r="138" spans="1:12" x14ac:dyDescent="0.25">
      <c r="A138" s="1" t="s">
        <v>1318</v>
      </c>
      <c r="B138" s="1" t="str">
        <f>("035854")</f>
        <v>035854</v>
      </c>
      <c r="C138" s="1" t="str">
        <f>("622454358546")</f>
        <v>622454358546</v>
      </c>
      <c r="D138" s="1">
        <v>402012</v>
      </c>
      <c r="E138" t="s">
        <v>203</v>
      </c>
      <c r="F138" s="3">
        <v>11.468085106382979</v>
      </c>
      <c r="G138" s="1" t="s">
        <v>13</v>
      </c>
      <c r="H138" s="2">
        <v>44621</v>
      </c>
      <c r="I138" s="1">
        <v>0.13</v>
      </c>
      <c r="J138" s="1">
        <v>0.28699999999999998</v>
      </c>
      <c r="K138" s="1">
        <v>20</v>
      </c>
      <c r="L138" s="1" t="s">
        <v>14</v>
      </c>
    </row>
    <row r="139" spans="1:12" x14ac:dyDescent="0.25">
      <c r="A139" s="1" t="s">
        <v>1318</v>
      </c>
      <c r="B139" s="1" t="str">
        <f>("035855")</f>
        <v>035855</v>
      </c>
      <c r="C139" s="1" t="str">
        <f>("622454358553")</f>
        <v>622454358553</v>
      </c>
      <c r="D139" s="1">
        <v>402015</v>
      </c>
      <c r="E139" t="s">
        <v>204</v>
      </c>
      <c r="F139" s="3">
        <v>14.893617021276597</v>
      </c>
      <c r="G139" s="1" t="s">
        <v>13</v>
      </c>
      <c r="H139" s="2">
        <v>44621</v>
      </c>
      <c r="I139" s="1">
        <v>0.17</v>
      </c>
      <c r="J139" s="1">
        <v>0.375</v>
      </c>
      <c r="K139" s="1">
        <v>20</v>
      </c>
      <c r="L139" s="1" t="s">
        <v>14</v>
      </c>
    </row>
    <row r="140" spans="1:12" x14ac:dyDescent="0.25">
      <c r="A140" s="1" t="s">
        <v>1318</v>
      </c>
      <c r="B140" s="1" t="str">
        <f>("035856")</f>
        <v>035856</v>
      </c>
      <c r="C140" s="1" t="str">
        <f>("622454358560")</f>
        <v>622454358560</v>
      </c>
      <c r="D140" s="1">
        <v>402020</v>
      </c>
      <c r="E140" t="s">
        <v>205</v>
      </c>
      <c r="F140" s="3">
        <v>18.904255319148938</v>
      </c>
      <c r="G140" s="1" t="s">
        <v>13</v>
      </c>
      <c r="H140" s="2">
        <v>44621</v>
      </c>
      <c r="I140" s="1">
        <v>0.254</v>
      </c>
      <c r="J140" s="1">
        <v>0.56000000000000005</v>
      </c>
      <c r="K140" s="1">
        <v>10</v>
      </c>
      <c r="L140" s="1" t="s">
        <v>14</v>
      </c>
    </row>
    <row r="141" spans="1:12" x14ac:dyDescent="0.25">
      <c r="A141" s="1" t="s">
        <v>1318</v>
      </c>
      <c r="B141" s="1" t="str">
        <f>("035857")</f>
        <v>035857</v>
      </c>
      <c r="C141" s="1" t="str">
        <f>("622454358577")</f>
        <v>622454358577</v>
      </c>
      <c r="D141" s="1">
        <v>402025</v>
      </c>
      <c r="E141" t="s">
        <v>206</v>
      </c>
      <c r="F141" s="3">
        <v>57.468085106382986</v>
      </c>
      <c r="G141" s="1" t="s">
        <v>13</v>
      </c>
      <c r="H141" s="2">
        <v>44621</v>
      </c>
      <c r="I141" s="1">
        <v>0.499</v>
      </c>
      <c r="J141" s="1">
        <v>1.1000000000000001</v>
      </c>
      <c r="K141" s="1">
        <v>10</v>
      </c>
      <c r="L141" s="1" t="s">
        <v>14</v>
      </c>
    </row>
    <row r="142" spans="1:12" x14ac:dyDescent="0.25">
      <c r="A142" s="1" t="s">
        <v>1318</v>
      </c>
      <c r="B142" s="1" t="str">
        <f>("035858")</f>
        <v>035858</v>
      </c>
      <c r="C142" s="1" t="str">
        <f>("622454358584")</f>
        <v>622454358584</v>
      </c>
      <c r="D142" s="1">
        <v>402030</v>
      </c>
      <c r="E142" t="s">
        <v>207</v>
      </c>
      <c r="F142" s="3">
        <v>73.255319148936181</v>
      </c>
      <c r="G142" s="1" t="s">
        <v>13</v>
      </c>
      <c r="H142" s="2">
        <v>44621</v>
      </c>
      <c r="I142" s="1">
        <v>0.72599999999999998</v>
      </c>
      <c r="J142" s="1">
        <v>1.601</v>
      </c>
      <c r="K142" s="1">
        <v>10</v>
      </c>
      <c r="L142" s="1" t="s">
        <v>14</v>
      </c>
    </row>
    <row r="143" spans="1:12" x14ac:dyDescent="0.25">
      <c r="A143" s="1" t="s">
        <v>1318</v>
      </c>
      <c r="B143" s="1" t="str">
        <f>("035859")</f>
        <v>035859</v>
      </c>
      <c r="C143" s="1" t="str">
        <f>("622454358591")</f>
        <v>622454358591</v>
      </c>
      <c r="D143" s="1">
        <v>402040</v>
      </c>
      <c r="E143" t="s">
        <v>208</v>
      </c>
      <c r="F143" s="3">
        <v>111.97872340425533</v>
      </c>
      <c r="G143" s="1" t="s">
        <v>13</v>
      </c>
      <c r="H143" s="2">
        <v>44621</v>
      </c>
      <c r="I143" s="1">
        <v>1.179</v>
      </c>
      <c r="J143" s="1">
        <v>2.5990000000000002</v>
      </c>
      <c r="K143" s="1">
        <v>6</v>
      </c>
      <c r="L143" s="1" t="s">
        <v>14</v>
      </c>
    </row>
    <row r="144" spans="1:12" x14ac:dyDescent="0.25">
      <c r="A144" s="1" t="s">
        <v>1318</v>
      </c>
      <c r="B144" s="1" t="str">
        <f>("035860")</f>
        <v>035860</v>
      </c>
      <c r="C144" s="1" t="str">
        <f>("622454358607")</f>
        <v>622454358607</v>
      </c>
      <c r="D144" s="1">
        <v>402074</v>
      </c>
      <c r="E144" t="s">
        <v>209</v>
      </c>
      <c r="F144" s="3">
        <v>5.3829787234042552</v>
      </c>
      <c r="G144" s="1" t="s">
        <v>13</v>
      </c>
      <c r="H144" s="2">
        <v>44621</v>
      </c>
      <c r="I144" s="1">
        <v>4.1000000000000002E-2</v>
      </c>
      <c r="J144" s="1">
        <v>0.09</v>
      </c>
      <c r="K144" s="1">
        <v>50</v>
      </c>
      <c r="L144" s="1" t="s">
        <v>14</v>
      </c>
    </row>
    <row r="145" spans="1:12" x14ac:dyDescent="0.25">
      <c r="A145" s="1" t="s">
        <v>1318</v>
      </c>
      <c r="B145" s="1" t="str">
        <f>("035862")</f>
        <v>035862</v>
      </c>
      <c r="C145" s="1" t="str">
        <f>("622454358621")</f>
        <v>622454358621</v>
      </c>
      <c r="D145" s="1">
        <v>402094</v>
      </c>
      <c r="E145" t="s">
        <v>210</v>
      </c>
      <c r="F145" s="3">
        <v>3.7765957446808511</v>
      </c>
      <c r="G145" s="1" t="s">
        <v>13</v>
      </c>
      <c r="H145" s="2">
        <v>44621</v>
      </c>
      <c r="I145" s="1">
        <v>4.4999999999999998E-2</v>
      </c>
      <c r="J145" s="1">
        <v>9.9000000000000005E-2</v>
      </c>
      <c r="K145" s="1">
        <v>50</v>
      </c>
      <c r="L145" s="1" t="s">
        <v>14</v>
      </c>
    </row>
    <row r="146" spans="1:12" x14ac:dyDescent="0.25">
      <c r="A146" s="1" t="s">
        <v>1318</v>
      </c>
      <c r="B146" s="1" t="str">
        <f>("235019")</f>
        <v>235019</v>
      </c>
      <c r="C146" s="1" t="str">
        <f>("622454010321")</f>
        <v>622454010321</v>
      </c>
      <c r="D146" s="1">
        <v>402095</v>
      </c>
      <c r="E146" t="s">
        <v>211</v>
      </c>
      <c r="F146" s="3">
        <v>3.7765957446808511</v>
      </c>
      <c r="G146" s="1" t="s">
        <v>13</v>
      </c>
      <c r="H146" s="2">
        <v>44621</v>
      </c>
      <c r="I146" s="1">
        <v>0.05</v>
      </c>
      <c r="J146" s="1">
        <v>0.11</v>
      </c>
      <c r="K146" s="1">
        <v>50</v>
      </c>
      <c r="L146" s="1" t="s">
        <v>14</v>
      </c>
    </row>
    <row r="147" spans="1:12" x14ac:dyDescent="0.25">
      <c r="A147" s="1" t="s">
        <v>1318</v>
      </c>
      <c r="B147" s="1" t="str">
        <f>("035863")</f>
        <v>035863</v>
      </c>
      <c r="C147" s="1" t="str">
        <f>("622454358638")</f>
        <v>622454358638</v>
      </c>
      <c r="D147" s="1">
        <v>402101</v>
      </c>
      <c r="E147" t="s">
        <v>212</v>
      </c>
      <c r="F147" s="3">
        <v>3.3297872340425534</v>
      </c>
      <c r="G147" s="1" t="s">
        <v>13</v>
      </c>
      <c r="H147" s="2">
        <v>44621</v>
      </c>
      <c r="I147" s="1">
        <v>0.04</v>
      </c>
      <c r="J147" s="1">
        <v>8.7999999999999995E-2</v>
      </c>
      <c r="K147" s="1">
        <v>50</v>
      </c>
      <c r="L147" s="1" t="s">
        <v>14</v>
      </c>
    </row>
    <row r="148" spans="1:12" x14ac:dyDescent="0.25">
      <c r="A148" s="1" t="s">
        <v>1318</v>
      </c>
      <c r="B148" s="1" t="str">
        <f>("035867")</f>
        <v>035867</v>
      </c>
      <c r="C148" s="1" t="str">
        <f>("622454358676")</f>
        <v>622454358676</v>
      </c>
      <c r="D148" s="1">
        <v>402124</v>
      </c>
      <c r="E148" t="s">
        <v>213</v>
      </c>
      <c r="F148" s="3">
        <v>7.1914893617021276</v>
      </c>
      <c r="G148" s="1" t="s">
        <v>13</v>
      </c>
      <c r="H148" s="2">
        <v>44621</v>
      </c>
      <c r="I148" s="1">
        <v>5.8999999999999997E-2</v>
      </c>
      <c r="J148" s="1">
        <v>0.13</v>
      </c>
      <c r="K148" s="1">
        <v>50</v>
      </c>
      <c r="L148" s="1" t="s">
        <v>14</v>
      </c>
    </row>
    <row r="149" spans="1:12" x14ac:dyDescent="0.25">
      <c r="A149" s="1" t="s">
        <v>1318</v>
      </c>
      <c r="B149" s="1" t="str">
        <f>("035865")</f>
        <v>035865</v>
      </c>
      <c r="C149" s="1" t="str">
        <f>("622454358652")</f>
        <v>622454358652</v>
      </c>
      <c r="D149" s="1">
        <v>402130</v>
      </c>
      <c r="E149" t="s">
        <v>214</v>
      </c>
      <c r="F149" s="3">
        <v>5.0212765957446805</v>
      </c>
      <c r="G149" s="1" t="s">
        <v>13</v>
      </c>
      <c r="H149" s="2">
        <v>44621</v>
      </c>
      <c r="I149" s="1">
        <v>8.4000000000000005E-2</v>
      </c>
      <c r="J149" s="1">
        <v>0.185</v>
      </c>
      <c r="K149" s="1">
        <v>40</v>
      </c>
      <c r="L149" s="1" t="s">
        <v>14</v>
      </c>
    </row>
    <row r="150" spans="1:12" x14ac:dyDescent="0.25">
      <c r="A150" s="1" t="s">
        <v>1318</v>
      </c>
      <c r="B150" s="1" t="str">
        <f>("035866")</f>
        <v>035866</v>
      </c>
      <c r="C150" s="1" t="str">
        <f>("622454358669")</f>
        <v>622454358669</v>
      </c>
      <c r="D150" s="1">
        <v>402131</v>
      </c>
      <c r="E150" t="s">
        <v>215</v>
      </c>
      <c r="F150" s="3">
        <v>7.1914893617021276</v>
      </c>
      <c r="G150" s="1" t="s">
        <v>13</v>
      </c>
      <c r="H150" s="2">
        <v>44621</v>
      </c>
      <c r="I150" s="1">
        <v>0.14000000000000001</v>
      </c>
      <c r="J150" s="1">
        <v>0.309</v>
      </c>
      <c r="K150" s="1">
        <v>35</v>
      </c>
      <c r="L150" s="1" t="s">
        <v>14</v>
      </c>
    </row>
    <row r="151" spans="1:12" x14ac:dyDescent="0.25">
      <c r="A151" s="1" t="s">
        <v>1318</v>
      </c>
      <c r="B151" s="1" t="str">
        <f>("035868")</f>
        <v>035868</v>
      </c>
      <c r="C151" s="1" t="str">
        <f>("622454358683")</f>
        <v>622454358683</v>
      </c>
      <c r="D151" s="1">
        <v>402156</v>
      </c>
      <c r="E151" t="s">
        <v>216</v>
      </c>
      <c r="F151" s="3">
        <v>11.468085106382979</v>
      </c>
      <c r="G151" s="1" t="s">
        <v>13</v>
      </c>
      <c r="H151" s="2">
        <v>44621</v>
      </c>
      <c r="I151" s="1">
        <v>8.2000000000000003E-2</v>
      </c>
      <c r="J151" s="1">
        <v>0.18099999999999999</v>
      </c>
      <c r="K151" s="1">
        <v>25</v>
      </c>
      <c r="L151" s="1" t="s">
        <v>14</v>
      </c>
    </row>
    <row r="152" spans="1:12" x14ac:dyDescent="0.25">
      <c r="A152" s="1" t="s">
        <v>1318</v>
      </c>
      <c r="B152" s="1" t="str">
        <f>("235020")</f>
        <v>235020</v>
      </c>
      <c r="C152" s="1" t="str">
        <f>("622454010338")</f>
        <v>622454010338</v>
      </c>
      <c r="D152" s="1">
        <v>402158</v>
      </c>
      <c r="E152" t="s">
        <v>217</v>
      </c>
      <c r="F152" s="3">
        <v>11.468085106382979</v>
      </c>
      <c r="G152" s="1" t="s">
        <v>13</v>
      </c>
      <c r="H152" s="2">
        <v>44621</v>
      </c>
      <c r="I152" s="1">
        <v>0.12</v>
      </c>
      <c r="J152" s="1">
        <v>0.26500000000000001</v>
      </c>
      <c r="K152" s="1">
        <v>25</v>
      </c>
      <c r="L152" s="1" t="s">
        <v>14</v>
      </c>
    </row>
    <row r="153" spans="1:12" x14ac:dyDescent="0.25">
      <c r="A153" s="1" t="s">
        <v>1318</v>
      </c>
      <c r="B153" s="1" t="str">
        <f>("035869")</f>
        <v>035869</v>
      </c>
      <c r="C153" s="1" t="str">
        <f>("622454358690")</f>
        <v>622454358690</v>
      </c>
      <c r="D153" s="1">
        <v>402166</v>
      </c>
      <c r="E153" t="s">
        <v>218</v>
      </c>
      <c r="F153" s="3">
        <v>12.021276595744682</v>
      </c>
      <c r="G153" s="1" t="s">
        <v>13</v>
      </c>
      <c r="H153" s="2">
        <v>44621</v>
      </c>
      <c r="I153" s="1">
        <v>0.1</v>
      </c>
      <c r="J153" s="1">
        <v>0.22</v>
      </c>
      <c r="K153" s="1">
        <v>25</v>
      </c>
      <c r="L153" s="1" t="s">
        <v>14</v>
      </c>
    </row>
    <row r="154" spans="1:12" x14ac:dyDescent="0.25">
      <c r="A154" s="1" t="s">
        <v>1318</v>
      </c>
      <c r="B154" s="1" t="str">
        <f>("035870")</f>
        <v>035870</v>
      </c>
      <c r="C154" s="1" t="str">
        <f>("622454358706")</f>
        <v>622454358706</v>
      </c>
      <c r="D154" s="1">
        <v>402167</v>
      </c>
      <c r="E154" t="s">
        <v>219</v>
      </c>
      <c r="F154" s="3">
        <v>12.031914893617023</v>
      </c>
      <c r="G154" s="1" t="s">
        <v>13</v>
      </c>
      <c r="H154" s="2">
        <v>44621</v>
      </c>
      <c r="I154" s="1">
        <v>9.4E-2</v>
      </c>
      <c r="J154" s="1">
        <v>0.20699999999999999</v>
      </c>
      <c r="K154" s="1">
        <v>20</v>
      </c>
      <c r="L154" s="1" t="s">
        <v>14</v>
      </c>
    </row>
    <row r="155" spans="1:12" x14ac:dyDescent="0.25">
      <c r="A155" s="1" t="s">
        <v>1318</v>
      </c>
      <c r="B155" s="1" t="str">
        <f>("035871")</f>
        <v>035871</v>
      </c>
      <c r="C155" s="1" t="str">
        <f>("622454358713")</f>
        <v>622454358713</v>
      </c>
      <c r="D155" s="1">
        <v>402168</v>
      </c>
      <c r="E155" t="s">
        <v>220</v>
      </c>
      <c r="F155" s="3">
        <v>12.031914893617023</v>
      </c>
      <c r="G155" s="1" t="s">
        <v>13</v>
      </c>
      <c r="H155" s="2">
        <v>44621</v>
      </c>
      <c r="I155" s="1">
        <v>0.127</v>
      </c>
      <c r="J155" s="1">
        <v>0.28000000000000003</v>
      </c>
      <c r="K155" s="1">
        <v>25</v>
      </c>
      <c r="L155" s="1" t="s">
        <v>14</v>
      </c>
    </row>
    <row r="156" spans="1:12" x14ac:dyDescent="0.25">
      <c r="A156" s="1" t="s">
        <v>1318</v>
      </c>
      <c r="B156" s="1" t="str">
        <f>("235021")</f>
        <v>235021</v>
      </c>
      <c r="C156" s="1" t="str">
        <f>("622454010345")</f>
        <v>622454010345</v>
      </c>
      <c r="D156" s="1">
        <v>402199</v>
      </c>
      <c r="E156" t="s">
        <v>221</v>
      </c>
      <c r="F156" s="3">
        <v>14.893617021276597</v>
      </c>
      <c r="G156" s="1" t="s">
        <v>13</v>
      </c>
      <c r="H156" s="2">
        <v>44621</v>
      </c>
      <c r="I156" s="1">
        <v>0.1</v>
      </c>
      <c r="J156" s="1">
        <v>0.22</v>
      </c>
      <c r="K156" s="1">
        <v>25</v>
      </c>
      <c r="L156" s="1" t="s">
        <v>14</v>
      </c>
    </row>
    <row r="157" spans="1:12" x14ac:dyDescent="0.25">
      <c r="A157" s="1" t="s">
        <v>1318</v>
      </c>
      <c r="B157" s="1" t="str">
        <f>("035872")</f>
        <v>035872</v>
      </c>
      <c r="C157" s="1" t="str">
        <f>("622454358720")</f>
        <v>622454358720</v>
      </c>
      <c r="D157" s="1">
        <v>402201</v>
      </c>
      <c r="E157" t="s">
        <v>222</v>
      </c>
      <c r="F157" s="3">
        <v>14.893617021276597</v>
      </c>
      <c r="G157" s="1" t="s">
        <v>13</v>
      </c>
      <c r="H157" s="2">
        <v>44621</v>
      </c>
      <c r="I157" s="1">
        <v>0.113</v>
      </c>
      <c r="J157" s="1">
        <v>0.249</v>
      </c>
      <c r="K157" s="1">
        <v>25</v>
      </c>
      <c r="L157" s="1" t="s">
        <v>14</v>
      </c>
    </row>
    <row r="158" spans="1:12" x14ac:dyDescent="0.25">
      <c r="A158" s="1" t="s">
        <v>1318</v>
      </c>
      <c r="B158" s="1" t="str">
        <f>("235022")</f>
        <v>235022</v>
      </c>
      <c r="C158" s="1" t="str">
        <f>("622454010352")</f>
        <v>622454010352</v>
      </c>
      <c r="D158" s="1">
        <v>402202</v>
      </c>
      <c r="E158" t="s">
        <v>223</v>
      </c>
      <c r="F158" s="3">
        <v>14.893617021276597</v>
      </c>
      <c r="G158" s="1" t="s">
        <v>13</v>
      </c>
      <c r="H158" s="2">
        <v>44621</v>
      </c>
      <c r="I158" s="1">
        <v>0.14000000000000001</v>
      </c>
      <c r="J158" s="1">
        <v>0.309</v>
      </c>
      <c r="K158" s="1">
        <v>25</v>
      </c>
      <c r="L158" s="1" t="s">
        <v>14</v>
      </c>
    </row>
    <row r="159" spans="1:12" x14ac:dyDescent="0.25">
      <c r="A159" s="1" t="s">
        <v>1318</v>
      </c>
      <c r="B159" s="1" t="str">
        <f>("035873")</f>
        <v>035873</v>
      </c>
      <c r="C159" s="1" t="str">
        <f>("622454358737")</f>
        <v>622454358737</v>
      </c>
      <c r="D159" s="1">
        <v>402209</v>
      </c>
      <c r="E159" t="s">
        <v>224</v>
      </c>
      <c r="F159" s="3">
        <v>14.893617021276597</v>
      </c>
      <c r="G159" s="1" t="s">
        <v>13</v>
      </c>
      <c r="H159" s="2">
        <v>44621</v>
      </c>
      <c r="I159" s="1">
        <v>0.109</v>
      </c>
      <c r="J159" s="1">
        <v>0.24</v>
      </c>
      <c r="K159" s="1">
        <v>25</v>
      </c>
      <c r="L159" s="1" t="s">
        <v>14</v>
      </c>
    </row>
    <row r="160" spans="1:12" x14ac:dyDescent="0.25">
      <c r="A160" s="1" t="s">
        <v>1318</v>
      </c>
      <c r="B160" s="1" t="str">
        <f>("035874")</f>
        <v>035874</v>
      </c>
      <c r="C160" s="1" t="str">
        <f>("622454358744")</f>
        <v>622454358744</v>
      </c>
      <c r="D160" s="1">
        <v>402210</v>
      </c>
      <c r="E160" t="s">
        <v>225</v>
      </c>
      <c r="F160" s="3">
        <v>14.893617021276597</v>
      </c>
      <c r="G160" s="1" t="s">
        <v>13</v>
      </c>
      <c r="H160" s="2">
        <v>44621</v>
      </c>
      <c r="I160" s="1">
        <v>0.122</v>
      </c>
      <c r="J160" s="1">
        <v>0.26900000000000002</v>
      </c>
      <c r="K160" s="1">
        <v>15</v>
      </c>
      <c r="L160" s="1" t="s">
        <v>14</v>
      </c>
    </row>
    <row r="161" spans="1:12" x14ac:dyDescent="0.25">
      <c r="A161" s="1" t="s">
        <v>1318</v>
      </c>
      <c r="B161" s="1" t="str">
        <f>("035875")</f>
        <v>035875</v>
      </c>
      <c r="C161" s="1" t="str">
        <f>("622454358751")</f>
        <v>622454358751</v>
      </c>
      <c r="D161" s="1">
        <v>402211</v>
      </c>
      <c r="E161" t="s">
        <v>226</v>
      </c>
      <c r="F161" s="3">
        <v>14.893617021276597</v>
      </c>
      <c r="G161" s="1" t="s">
        <v>13</v>
      </c>
      <c r="H161" s="2">
        <v>44621</v>
      </c>
      <c r="I161" s="1">
        <v>0.13200000000000001</v>
      </c>
      <c r="J161" s="1">
        <v>0.29099999999999998</v>
      </c>
      <c r="K161" s="1">
        <v>15</v>
      </c>
      <c r="L161" s="1" t="s">
        <v>14</v>
      </c>
    </row>
    <row r="162" spans="1:12" x14ac:dyDescent="0.25">
      <c r="A162" s="1" t="s">
        <v>1318</v>
      </c>
      <c r="B162" s="1" t="str">
        <f>("035876")</f>
        <v>035876</v>
      </c>
      <c r="C162" s="1" t="str">
        <f>("622454358768")</f>
        <v>622454358768</v>
      </c>
      <c r="D162" s="1">
        <v>402212</v>
      </c>
      <c r="E162" t="s">
        <v>227</v>
      </c>
      <c r="F162" s="3">
        <v>14.893617021276597</v>
      </c>
      <c r="G162" s="1" t="s">
        <v>13</v>
      </c>
      <c r="H162" s="2">
        <v>44621</v>
      </c>
      <c r="I162" s="1">
        <v>0.159</v>
      </c>
      <c r="J162" s="1">
        <v>0.35099999999999998</v>
      </c>
      <c r="K162" s="1">
        <v>25</v>
      </c>
      <c r="L162" s="1" t="s">
        <v>14</v>
      </c>
    </row>
    <row r="163" spans="1:12" x14ac:dyDescent="0.25">
      <c r="A163" s="1" t="s">
        <v>1318</v>
      </c>
      <c r="B163" s="1" t="str">
        <f>("235023")</f>
        <v>235023</v>
      </c>
      <c r="C163" s="1" t="str">
        <f>("622454010369")</f>
        <v>622454010369</v>
      </c>
      <c r="D163" s="1">
        <v>402238</v>
      </c>
      <c r="E163" t="s">
        <v>228</v>
      </c>
      <c r="F163" s="3">
        <v>18.776595744680851</v>
      </c>
      <c r="G163" s="1" t="s">
        <v>13</v>
      </c>
      <c r="H163" s="2">
        <v>44621</v>
      </c>
      <c r="I163" s="1">
        <v>0.15</v>
      </c>
      <c r="J163" s="1">
        <v>0.33100000000000002</v>
      </c>
      <c r="K163" s="1">
        <v>10</v>
      </c>
      <c r="L163" s="1" t="s">
        <v>14</v>
      </c>
    </row>
    <row r="164" spans="1:12" x14ac:dyDescent="0.25">
      <c r="A164" s="1" t="s">
        <v>1318</v>
      </c>
      <c r="B164" s="1" t="str">
        <f>("235024")</f>
        <v>235024</v>
      </c>
      <c r="C164" s="1" t="str">
        <f>("622454010376")</f>
        <v>622454010376</v>
      </c>
      <c r="D164" s="1">
        <v>402239</v>
      </c>
      <c r="E164" t="s">
        <v>229</v>
      </c>
      <c r="F164" s="3">
        <v>18.776595744680851</v>
      </c>
      <c r="G164" s="1" t="s">
        <v>13</v>
      </c>
      <c r="H164" s="2">
        <v>44621</v>
      </c>
      <c r="I164" s="1">
        <v>0.17</v>
      </c>
      <c r="J164" s="1">
        <v>0.375</v>
      </c>
      <c r="K164" s="1">
        <v>10</v>
      </c>
      <c r="L164" s="1" t="s">
        <v>14</v>
      </c>
    </row>
    <row r="165" spans="1:12" x14ac:dyDescent="0.25">
      <c r="A165" s="1" t="s">
        <v>1318</v>
      </c>
      <c r="B165" s="1" t="str">
        <f>("035877")</f>
        <v>035877</v>
      </c>
      <c r="C165" s="1" t="str">
        <f>("622454358775")</f>
        <v>622454358775</v>
      </c>
      <c r="D165" s="1">
        <v>402247</v>
      </c>
      <c r="E165" t="s">
        <v>230</v>
      </c>
      <c r="F165" s="3">
        <v>18.776595744680851</v>
      </c>
      <c r="G165" s="1" t="s">
        <v>13</v>
      </c>
      <c r="H165" s="2">
        <v>44621</v>
      </c>
      <c r="I165" s="1">
        <v>0.13600000000000001</v>
      </c>
      <c r="J165" s="1">
        <v>0.3</v>
      </c>
      <c r="K165" s="1">
        <v>10</v>
      </c>
      <c r="L165" s="1" t="s">
        <v>14</v>
      </c>
    </row>
    <row r="166" spans="1:12" x14ac:dyDescent="0.25">
      <c r="A166" s="1" t="s">
        <v>1318</v>
      </c>
      <c r="B166" s="1" t="str">
        <f>("035878")</f>
        <v>035878</v>
      </c>
      <c r="C166" s="1" t="str">
        <f>("622454358782")</f>
        <v>622454358782</v>
      </c>
      <c r="D166" s="1">
        <v>402248</v>
      </c>
      <c r="E166" t="s">
        <v>231</v>
      </c>
      <c r="F166" s="3">
        <v>18.776595744680851</v>
      </c>
      <c r="G166" s="1" t="s">
        <v>13</v>
      </c>
      <c r="H166" s="2">
        <v>44621</v>
      </c>
      <c r="I166" s="1">
        <v>0.17</v>
      </c>
      <c r="J166" s="1">
        <v>0.375</v>
      </c>
      <c r="K166" s="1">
        <v>10</v>
      </c>
      <c r="L166" s="1" t="s">
        <v>14</v>
      </c>
    </row>
    <row r="167" spans="1:12" x14ac:dyDescent="0.25">
      <c r="A167" s="1" t="s">
        <v>1318</v>
      </c>
      <c r="B167" s="1" t="str">
        <f>("035879")</f>
        <v>035879</v>
      </c>
      <c r="C167" s="1" t="str">
        <f>("622454358799")</f>
        <v>622454358799</v>
      </c>
      <c r="D167" s="1">
        <v>402249</v>
      </c>
      <c r="E167" t="s">
        <v>232</v>
      </c>
      <c r="F167" s="3">
        <v>18.776595744680851</v>
      </c>
      <c r="G167" s="1" t="s">
        <v>13</v>
      </c>
      <c r="H167" s="2">
        <v>44621</v>
      </c>
      <c r="I167" s="1">
        <v>0.17399999999999999</v>
      </c>
      <c r="J167" s="1">
        <v>0.38400000000000001</v>
      </c>
      <c r="K167" s="1">
        <v>10</v>
      </c>
      <c r="L167" s="1" t="s">
        <v>14</v>
      </c>
    </row>
    <row r="168" spans="1:12" x14ac:dyDescent="0.25">
      <c r="A168" s="1" t="s">
        <v>1318</v>
      </c>
      <c r="B168" s="1" t="str">
        <f>("035880")</f>
        <v>035880</v>
      </c>
      <c r="C168" s="1" t="str">
        <f>("622454358805")</f>
        <v>622454358805</v>
      </c>
      <c r="D168" s="1">
        <v>402250</v>
      </c>
      <c r="E168" t="s">
        <v>233</v>
      </c>
      <c r="F168" s="3">
        <v>18.776595744680851</v>
      </c>
      <c r="G168" s="1" t="s">
        <v>13</v>
      </c>
      <c r="H168" s="2">
        <v>44621</v>
      </c>
      <c r="I168" s="1">
        <v>0.20399999999999999</v>
      </c>
      <c r="J168" s="1">
        <v>0.45</v>
      </c>
      <c r="K168" s="1">
        <v>10</v>
      </c>
      <c r="L168" s="1" t="s">
        <v>14</v>
      </c>
    </row>
    <row r="169" spans="1:12" x14ac:dyDescent="0.25">
      <c r="A169" s="1" t="s">
        <v>1318</v>
      </c>
      <c r="B169" s="1" t="str">
        <f>("035881")</f>
        <v>035881</v>
      </c>
      <c r="C169" s="1" t="str">
        <f>("622454358812")</f>
        <v>622454358812</v>
      </c>
      <c r="D169" s="1">
        <v>402251</v>
      </c>
      <c r="E169" t="s">
        <v>234</v>
      </c>
      <c r="F169" s="3">
        <v>18.776595744680851</v>
      </c>
      <c r="G169" s="1" t="s">
        <v>13</v>
      </c>
      <c r="H169" s="2">
        <v>44621</v>
      </c>
      <c r="I169" s="1">
        <v>0.218</v>
      </c>
      <c r="J169" s="1">
        <v>0.48099999999999998</v>
      </c>
      <c r="K169" s="1">
        <v>30</v>
      </c>
      <c r="L169" s="1" t="s">
        <v>14</v>
      </c>
    </row>
    <row r="170" spans="1:12" x14ac:dyDescent="0.25">
      <c r="A170" s="1" t="s">
        <v>1318</v>
      </c>
      <c r="B170" s="1" t="str">
        <f>("235025")</f>
        <v>235025</v>
      </c>
      <c r="C170" s="1" t="str">
        <f>("622454010383")</f>
        <v>622454010383</v>
      </c>
      <c r="D170" s="1">
        <v>402287</v>
      </c>
      <c r="E170" t="s">
        <v>235</v>
      </c>
      <c r="F170" s="3">
        <v>40.60638297872341</v>
      </c>
      <c r="G170" s="1" t="s">
        <v>13</v>
      </c>
      <c r="H170" s="2">
        <v>44621</v>
      </c>
      <c r="I170" s="1">
        <v>0.27</v>
      </c>
      <c r="J170" s="1">
        <v>0.59499999999999997</v>
      </c>
      <c r="K170" s="1">
        <v>10</v>
      </c>
      <c r="L170" s="1" t="s">
        <v>14</v>
      </c>
    </row>
    <row r="171" spans="1:12" x14ac:dyDescent="0.25">
      <c r="A171" s="1" t="s">
        <v>1318</v>
      </c>
      <c r="B171" s="1" t="str">
        <f>("035592")</f>
        <v>035592</v>
      </c>
      <c r="C171" s="1" t="str">
        <f>("622454355927")</f>
        <v>622454355927</v>
      </c>
      <c r="D171" s="1">
        <v>402288</v>
      </c>
      <c r="E171" t="s">
        <v>236</v>
      </c>
      <c r="F171" s="3">
        <v>40.60638297872341</v>
      </c>
      <c r="G171" s="1" t="s">
        <v>13</v>
      </c>
      <c r="H171" s="2">
        <v>44621</v>
      </c>
      <c r="I171" s="1">
        <v>0.28999999999999998</v>
      </c>
      <c r="J171" s="1">
        <v>0.63900000000000001</v>
      </c>
      <c r="K171" s="1">
        <v>10</v>
      </c>
      <c r="L171" s="1" t="s">
        <v>14</v>
      </c>
    </row>
    <row r="172" spans="1:12" x14ac:dyDescent="0.25">
      <c r="A172" s="1" t="s">
        <v>1318</v>
      </c>
      <c r="B172" s="1" t="str">
        <f>("035882")</f>
        <v>035882</v>
      </c>
      <c r="C172" s="1" t="str">
        <f>("622454358829")</f>
        <v>622454358829</v>
      </c>
      <c r="D172" s="1">
        <v>402289</v>
      </c>
      <c r="E172" t="s">
        <v>237</v>
      </c>
      <c r="F172" s="3">
        <v>40.60638297872341</v>
      </c>
      <c r="G172" s="1" t="s">
        <v>13</v>
      </c>
      <c r="H172" s="2">
        <v>44621</v>
      </c>
      <c r="I172" s="1">
        <v>0.308</v>
      </c>
      <c r="J172" s="1">
        <v>0.67900000000000005</v>
      </c>
      <c r="K172" s="1">
        <v>10</v>
      </c>
      <c r="L172" s="1" t="s">
        <v>14</v>
      </c>
    </row>
    <row r="173" spans="1:12" x14ac:dyDescent="0.25">
      <c r="A173" s="1" t="s">
        <v>1318</v>
      </c>
      <c r="B173" s="1" t="str">
        <f>("035883")</f>
        <v>035883</v>
      </c>
      <c r="C173" s="1" t="str">
        <f>("622454358836")</f>
        <v>622454358836</v>
      </c>
      <c r="D173" s="1">
        <v>402290</v>
      </c>
      <c r="E173" t="s">
        <v>238</v>
      </c>
      <c r="F173" s="3">
        <v>40.60638297872341</v>
      </c>
      <c r="G173" s="1" t="s">
        <v>13</v>
      </c>
      <c r="H173" s="2">
        <v>44621</v>
      </c>
      <c r="I173" s="1">
        <v>0.34</v>
      </c>
      <c r="J173" s="1">
        <v>0.75</v>
      </c>
      <c r="K173" s="1">
        <v>10</v>
      </c>
      <c r="L173" s="1" t="s">
        <v>14</v>
      </c>
    </row>
    <row r="174" spans="1:12" x14ac:dyDescent="0.25">
      <c r="A174" s="1" t="s">
        <v>1318</v>
      </c>
      <c r="B174" s="1" t="str">
        <f>("035884")</f>
        <v>035884</v>
      </c>
      <c r="C174" s="1" t="str">
        <f>("622454358843")</f>
        <v>622454358843</v>
      </c>
      <c r="D174" s="1">
        <v>402291</v>
      </c>
      <c r="E174" t="s">
        <v>239</v>
      </c>
      <c r="F174" s="3">
        <v>40.60638297872341</v>
      </c>
      <c r="G174" s="1" t="s">
        <v>13</v>
      </c>
      <c r="H174" s="2">
        <v>44621</v>
      </c>
      <c r="I174" s="1">
        <v>0.36299999999999999</v>
      </c>
      <c r="J174" s="1">
        <v>0.8</v>
      </c>
      <c r="K174" s="1">
        <v>10</v>
      </c>
      <c r="L174" s="1" t="s">
        <v>14</v>
      </c>
    </row>
    <row r="175" spans="1:12" x14ac:dyDescent="0.25">
      <c r="A175" s="1" t="s">
        <v>1318</v>
      </c>
      <c r="B175" s="1" t="str">
        <f>("035885")</f>
        <v>035885</v>
      </c>
      <c r="C175" s="1" t="str">
        <f>("622454358850")</f>
        <v>622454358850</v>
      </c>
      <c r="D175" s="1">
        <v>402333</v>
      </c>
      <c r="E175" t="s">
        <v>240</v>
      </c>
      <c r="F175" s="3">
        <v>58.000000000000007</v>
      </c>
      <c r="G175" s="1" t="s">
        <v>13</v>
      </c>
      <c r="H175" s="2">
        <v>44621</v>
      </c>
      <c r="I175" s="1">
        <v>0.33600000000000002</v>
      </c>
      <c r="J175" s="1">
        <v>0.74099999999999999</v>
      </c>
      <c r="K175" s="1">
        <v>10</v>
      </c>
      <c r="L175" s="1" t="s">
        <v>14</v>
      </c>
    </row>
    <row r="176" spans="1:12" x14ac:dyDescent="0.25">
      <c r="A176" s="1" t="s">
        <v>1318</v>
      </c>
      <c r="B176" s="1" t="str">
        <f>("035886")</f>
        <v>035886</v>
      </c>
      <c r="C176" s="1" t="str">
        <f>("622454358867")</f>
        <v>622454358867</v>
      </c>
      <c r="D176" s="1">
        <v>402334</v>
      </c>
      <c r="E176" t="s">
        <v>241</v>
      </c>
      <c r="F176" s="3">
        <v>58.000000000000007</v>
      </c>
      <c r="G176" s="1" t="s">
        <v>13</v>
      </c>
      <c r="H176" s="2">
        <v>44621</v>
      </c>
      <c r="I176" s="1">
        <v>0.35399999999999998</v>
      </c>
      <c r="J176" s="1">
        <v>0.78</v>
      </c>
      <c r="K176" s="1">
        <v>10</v>
      </c>
      <c r="L176" s="1" t="s">
        <v>14</v>
      </c>
    </row>
    <row r="177" spans="1:12" x14ac:dyDescent="0.25">
      <c r="A177" s="1" t="s">
        <v>1318</v>
      </c>
      <c r="B177" s="1" t="str">
        <f>("035887")</f>
        <v>035887</v>
      </c>
      <c r="C177" s="1" t="str">
        <f>("622454358874")</f>
        <v>622454358874</v>
      </c>
      <c r="D177" s="1">
        <v>402335</v>
      </c>
      <c r="E177" t="s">
        <v>242</v>
      </c>
      <c r="F177" s="3">
        <v>58.000000000000007</v>
      </c>
      <c r="G177" s="1" t="s">
        <v>13</v>
      </c>
      <c r="H177" s="2">
        <v>44621</v>
      </c>
      <c r="I177" s="1">
        <v>0.39500000000000002</v>
      </c>
      <c r="J177" s="1">
        <v>0.871</v>
      </c>
      <c r="K177" s="1">
        <v>10</v>
      </c>
      <c r="L177" s="1" t="s">
        <v>14</v>
      </c>
    </row>
    <row r="178" spans="1:12" x14ac:dyDescent="0.25">
      <c r="A178" s="1" t="s">
        <v>1318</v>
      </c>
      <c r="B178" s="1" t="str">
        <f>("035888")</f>
        <v>035888</v>
      </c>
      <c r="C178" s="1" t="str">
        <f>("622454358881")</f>
        <v>622454358881</v>
      </c>
      <c r="D178" s="1">
        <v>402336</v>
      </c>
      <c r="E178" t="s">
        <v>243</v>
      </c>
      <c r="F178" s="3">
        <v>58.000000000000007</v>
      </c>
      <c r="G178" s="1" t="s">
        <v>13</v>
      </c>
      <c r="H178" s="2">
        <v>44621</v>
      </c>
      <c r="I178" s="1">
        <v>0.43099999999999999</v>
      </c>
      <c r="J178" s="1">
        <v>0.95</v>
      </c>
      <c r="K178" s="1">
        <v>10</v>
      </c>
      <c r="L178" s="1" t="s">
        <v>14</v>
      </c>
    </row>
    <row r="179" spans="1:12" x14ac:dyDescent="0.25">
      <c r="A179" s="1" t="s">
        <v>1318</v>
      </c>
      <c r="B179" s="1" t="str">
        <f>("035889")</f>
        <v>035889</v>
      </c>
      <c r="C179" s="1" t="str">
        <f>("622454358898")</f>
        <v>622454358898</v>
      </c>
      <c r="D179" s="1">
        <v>402337</v>
      </c>
      <c r="E179" t="s">
        <v>244</v>
      </c>
      <c r="F179" s="3">
        <v>58.000000000000007</v>
      </c>
      <c r="G179" s="1" t="s">
        <v>13</v>
      </c>
      <c r="H179" s="2">
        <v>44621</v>
      </c>
      <c r="I179" s="1">
        <v>0.45400000000000001</v>
      </c>
      <c r="J179" s="1">
        <v>1.0009999999999999</v>
      </c>
      <c r="K179" s="1">
        <v>10</v>
      </c>
      <c r="L179" s="1" t="s">
        <v>14</v>
      </c>
    </row>
    <row r="180" spans="1:12" x14ac:dyDescent="0.25">
      <c r="A180" s="1" t="s">
        <v>1318</v>
      </c>
      <c r="B180" s="1" t="str">
        <f>("035890")</f>
        <v>035890</v>
      </c>
      <c r="C180" s="1" t="str">
        <f>("622454358904")</f>
        <v>622454358904</v>
      </c>
      <c r="D180" s="1">
        <v>402338</v>
      </c>
      <c r="E180" t="s">
        <v>245</v>
      </c>
      <c r="F180" s="3">
        <v>58.000000000000007</v>
      </c>
      <c r="G180" s="1" t="s">
        <v>13</v>
      </c>
      <c r="H180" s="2">
        <v>44621</v>
      </c>
      <c r="I180" s="1">
        <v>0.499</v>
      </c>
      <c r="J180" s="1">
        <v>1.1000000000000001</v>
      </c>
      <c r="K180" s="1">
        <v>6</v>
      </c>
      <c r="L180" s="1" t="s">
        <v>14</v>
      </c>
    </row>
    <row r="181" spans="1:12" x14ac:dyDescent="0.25">
      <c r="A181" s="1" t="s">
        <v>1318</v>
      </c>
      <c r="B181" s="1" t="str">
        <f>("035891")</f>
        <v>035891</v>
      </c>
      <c r="C181" s="1" t="str">
        <f>("622454358911")</f>
        <v>622454358911</v>
      </c>
      <c r="D181" s="1">
        <v>402417</v>
      </c>
      <c r="E181" t="s">
        <v>246</v>
      </c>
      <c r="F181" s="3">
        <v>96.936170212765973</v>
      </c>
      <c r="G181" s="1" t="s">
        <v>13</v>
      </c>
      <c r="H181" s="2">
        <v>44621</v>
      </c>
      <c r="I181" s="1">
        <v>0.54400000000000004</v>
      </c>
      <c r="J181" s="1">
        <v>1.1990000000000001</v>
      </c>
      <c r="K181" s="1">
        <v>6</v>
      </c>
      <c r="L181" s="1" t="s">
        <v>14</v>
      </c>
    </row>
    <row r="182" spans="1:12" x14ac:dyDescent="0.25">
      <c r="A182" s="1" t="s">
        <v>1318</v>
      </c>
      <c r="B182" s="1" t="str">
        <f>("035893")</f>
        <v>035893</v>
      </c>
      <c r="C182" s="1" t="str">
        <f>("622454358935")</f>
        <v>622454358935</v>
      </c>
      <c r="D182" s="1">
        <v>402419</v>
      </c>
      <c r="E182" t="s">
        <v>247</v>
      </c>
      <c r="F182" s="3">
        <v>96.936170212765973</v>
      </c>
      <c r="G182" s="1" t="s">
        <v>13</v>
      </c>
      <c r="H182" s="2">
        <v>44621</v>
      </c>
      <c r="I182" s="1">
        <v>0.63500000000000001</v>
      </c>
      <c r="J182" s="1">
        <v>1.4</v>
      </c>
      <c r="K182" s="1">
        <v>10</v>
      </c>
      <c r="L182" s="1" t="s">
        <v>14</v>
      </c>
    </row>
    <row r="183" spans="1:12" x14ac:dyDescent="0.25">
      <c r="A183" s="1" t="s">
        <v>1318</v>
      </c>
      <c r="B183" s="1" t="str">
        <f>("035894")</f>
        <v>035894</v>
      </c>
      <c r="C183" s="1" t="str">
        <f>("622454358942")</f>
        <v>622454358942</v>
      </c>
      <c r="D183" s="1">
        <v>402420</v>
      </c>
      <c r="E183" t="s">
        <v>248</v>
      </c>
      <c r="F183" s="3">
        <v>96.936170212765973</v>
      </c>
      <c r="G183" s="1" t="s">
        <v>13</v>
      </c>
      <c r="H183" s="2">
        <v>44621</v>
      </c>
      <c r="I183" s="1">
        <v>0.68</v>
      </c>
      <c r="J183" s="1">
        <v>1.4990000000000001</v>
      </c>
      <c r="K183" s="1">
        <v>10</v>
      </c>
      <c r="L183" s="1" t="s">
        <v>14</v>
      </c>
    </row>
    <row r="184" spans="1:12" x14ac:dyDescent="0.25">
      <c r="A184" s="1" t="s">
        <v>1318</v>
      </c>
      <c r="B184" s="1" t="str">
        <f>("035895")</f>
        <v>035895</v>
      </c>
      <c r="C184" s="1" t="str">
        <f>("622454358959")</f>
        <v>622454358959</v>
      </c>
      <c r="D184" s="1">
        <v>402422</v>
      </c>
      <c r="E184" t="s">
        <v>249</v>
      </c>
      <c r="F184" s="3">
        <v>96.936170212765973</v>
      </c>
      <c r="G184" s="1" t="s">
        <v>13</v>
      </c>
      <c r="H184" s="2">
        <v>44621</v>
      </c>
      <c r="I184" s="1">
        <v>0.95299999999999996</v>
      </c>
      <c r="J184" s="1">
        <v>2.101</v>
      </c>
      <c r="K184" s="1">
        <v>6</v>
      </c>
      <c r="L184" s="1" t="s">
        <v>14</v>
      </c>
    </row>
    <row r="185" spans="1:12" x14ac:dyDescent="0.25">
      <c r="A185" s="1" t="s">
        <v>1318</v>
      </c>
      <c r="B185" s="1" t="str">
        <f>("235026")</f>
        <v>235026</v>
      </c>
      <c r="C185" s="1" t="str">
        <f>("622454010390")</f>
        <v>622454010390</v>
      </c>
      <c r="D185" s="1">
        <v>402490</v>
      </c>
      <c r="E185" t="s">
        <v>250</v>
      </c>
      <c r="F185" s="3">
        <v>253.2340425531915</v>
      </c>
      <c r="G185" s="1" t="s">
        <v>13</v>
      </c>
      <c r="H185" s="2">
        <v>44621</v>
      </c>
      <c r="I185" s="1">
        <v>1.68</v>
      </c>
      <c r="J185" s="1">
        <v>3.7040000000000002</v>
      </c>
      <c r="K185" s="1">
        <v>3</v>
      </c>
      <c r="L185" s="1" t="s">
        <v>14</v>
      </c>
    </row>
    <row r="186" spans="1:12" x14ac:dyDescent="0.25">
      <c r="A186" s="1" t="s">
        <v>1318</v>
      </c>
      <c r="B186" s="1" t="str">
        <f>("035896")</f>
        <v>035896</v>
      </c>
      <c r="C186" s="1" t="str">
        <f>("622454358966")</f>
        <v>622454358966</v>
      </c>
      <c r="D186" s="1">
        <v>402528</v>
      </c>
      <c r="E186" t="s">
        <v>251</v>
      </c>
      <c r="F186" s="3">
        <v>328.58510638297872</v>
      </c>
      <c r="G186" s="1" t="s">
        <v>13</v>
      </c>
      <c r="H186" s="2">
        <v>44621</v>
      </c>
      <c r="I186" s="1">
        <v>1.633</v>
      </c>
      <c r="J186" s="1">
        <v>3.6</v>
      </c>
      <c r="K186" s="1">
        <v>3</v>
      </c>
      <c r="L186" s="1" t="s">
        <v>14</v>
      </c>
    </row>
    <row r="187" spans="1:12" x14ac:dyDescent="0.25">
      <c r="A187" s="1" t="s">
        <v>1318</v>
      </c>
      <c r="B187" s="1" t="str">
        <f>("235027")</f>
        <v>235027</v>
      </c>
      <c r="C187" s="1" t="str">
        <f>("622454010406")</f>
        <v>622454010406</v>
      </c>
      <c r="D187" s="1">
        <v>402530</v>
      </c>
      <c r="E187" t="s">
        <v>252</v>
      </c>
      <c r="F187" s="3">
        <v>328.58510638297872</v>
      </c>
      <c r="G187" s="1" t="s">
        <v>13</v>
      </c>
      <c r="H187" s="2">
        <v>44621</v>
      </c>
      <c r="I187" s="1">
        <v>2.09</v>
      </c>
      <c r="J187" s="1">
        <v>4.6079999999999997</v>
      </c>
      <c r="K187" s="1">
        <v>5</v>
      </c>
      <c r="L187" s="1" t="s">
        <v>14</v>
      </c>
    </row>
    <row r="188" spans="1:12" x14ac:dyDescent="0.25">
      <c r="A188" s="1" t="s">
        <v>1318</v>
      </c>
      <c r="B188" s="1" t="str">
        <f>("035897")</f>
        <v>035897</v>
      </c>
      <c r="C188" s="1" t="str">
        <f>("622454358973")</f>
        <v>622454358973</v>
      </c>
      <c r="D188" s="1">
        <v>402532</v>
      </c>
      <c r="E188" t="s">
        <v>253</v>
      </c>
      <c r="F188" s="3">
        <v>328.58510638297872</v>
      </c>
      <c r="G188" s="1" t="s">
        <v>13</v>
      </c>
      <c r="H188" s="2">
        <v>44621</v>
      </c>
      <c r="I188" s="1">
        <v>2.2229999999999999</v>
      </c>
      <c r="J188" s="1">
        <v>4.9009999999999998</v>
      </c>
      <c r="K188" s="1">
        <v>2</v>
      </c>
      <c r="L188" s="1" t="s">
        <v>14</v>
      </c>
    </row>
    <row r="189" spans="1:12" x14ac:dyDescent="0.25">
      <c r="A189" s="1" t="s">
        <v>1318</v>
      </c>
      <c r="B189" s="1" t="str">
        <f>("235028")</f>
        <v>235028</v>
      </c>
      <c r="C189" s="1" t="str">
        <f>("622454010413")</f>
        <v>622454010413</v>
      </c>
      <c r="D189" s="1">
        <v>402580</v>
      </c>
      <c r="E189" t="s">
        <v>254</v>
      </c>
      <c r="F189" s="3">
        <v>710.59574468085111</v>
      </c>
      <c r="G189" s="1" t="s">
        <v>13</v>
      </c>
      <c r="H189" s="2">
        <v>44621</v>
      </c>
      <c r="I189" s="1">
        <v>0.06</v>
      </c>
      <c r="J189" s="1">
        <v>0.13200000000000001</v>
      </c>
      <c r="K189" s="1">
        <v>2</v>
      </c>
      <c r="L189" s="1" t="s">
        <v>14</v>
      </c>
    </row>
    <row r="190" spans="1:12" x14ac:dyDescent="0.25">
      <c r="A190" s="1" t="s">
        <v>1318</v>
      </c>
      <c r="B190" s="1" t="str">
        <f>("035898")</f>
        <v>035898</v>
      </c>
      <c r="C190" s="1" t="str">
        <f>("622454358980")</f>
        <v>622454358980</v>
      </c>
      <c r="D190" s="1">
        <v>402582</v>
      </c>
      <c r="E190" t="s">
        <v>255</v>
      </c>
      <c r="F190" s="3">
        <v>710.59574468085111</v>
      </c>
      <c r="G190" s="1" t="s">
        <v>13</v>
      </c>
      <c r="H190" s="2">
        <v>44621</v>
      </c>
      <c r="I190" s="1">
        <v>6.5910000000000002</v>
      </c>
      <c r="J190" s="1">
        <v>14.531000000000001</v>
      </c>
      <c r="K190" s="1">
        <v>2</v>
      </c>
      <c r="L190" s="1" t="s">
        <v>14</v>
      </c>
    </row>
    <row r="191" spans="1:12" x14ac:dyDescent="0.25">
      <c r="A191" s="1" t="s">
        <v>1318</v>
      </c>
      <c r="B191" s="1" t="str">
        <f>("035844")</f>
        <v>035844</v>
      </c>
      <c r="C191" s="1" t="str">
        <f>("622454358447")</f>
        <v>622454358447</v>
      </c>
      <c r="D191" s="1">
        <v>405005</v>
      </c>
      <c r="E191" t="s">
        <v>256</v>
      </c>
      <c r="F191" s="3">
        <v>6.9468085106382986</v>
      </c>
      <c r="G191" s="1" t="s">
        <v>13</v>
      </c>
      <c r="H191" s="2">
        <v>44621</v>
      </c>
      <c r="I191" s="1">
        <v>3.2000000000000001E-2</v>
      </c>
      <c r="J191" s="1">
        <v>7.0999999999999994E-2</v>
      </c>
      <c r="K191" s="1">
        <v>50</v>
      </c>
      <c r="L191" s="1" t="s">
        <v>14</v>
      </c>
    </row>
    <row r="192" spans="1:12" x14ac:dyDescent="0.25">
      <c r="A192" s="1" t="s">
        <v>1318</v>
      </c>
      <c r="B192" s="1" t="str">
        <f>("035845")</f>
        <v>035845</v>
      </c>
      <c r="C192" s="1" t="str">
        <f>("622454358454")</f>
        <v>622454358454</v>
      </c>
      <c r="D192" s="1">
        <v>405007</v>
      </c>
      <c r="E192" t="s">
        <v>257</v>
      </c>
      <c r="F192" s="3">
        <v>10.914893617021278</v>
      </c>
      <c r="G192" s="1" t="s">
        <v>13</v>
      </c>
      <c r="H192" s="2">
        <v>44621</v>
      </c>
      <c r="I192" s="1">
        <v>4.4999999999999998E-2</v>
      </c>
      <c r="J192" s="1">
        <v>9.9000000000000005E-2</v>
      </c>
      <c r="K192" s="1">
        <v>50</v>
      </c>
      <c r="L192" s="1" t="s">
        <v>14</v>
      </c>
    </row>
    <row r="193" spans="1:12" x14ac:dyDescent="0.25">
      <c r="A193" s="1" t="s">
        <v>1318</v>
      </c>
      <c r="B193" s="1" t="str">
        <f>("035846")</f>
        <v>035846</v>
      </c>
      <c r="C193" s="1" t="str">
        <f>("622454358461")</f>
        <v>622454358461</v>
      </c>
      <c r="D193" s="1">
        <v>405010</v>
      </c>
      <c r="E193" t="s">
        <v>258</v>
      </c>
      <c r="F193" s="3">
        <v>15.074468085106384</v>
      </c>
      <c r="G193" s="1" t="s">
        <v>13</v>
      </c>
      <c r="H193" s="2">
        <v>44621</v>
      </c>
      <c r="I193" s="1">
        <v>8.5999999999999993E-2</v>
      </c>
      <c r="J193" s="1">
        <v>0.19</v>
      </c>
      <c r="K193" s="1">
        <v>50</v>
      </c>
      <c r="L193" s="1" t="s">
        <v>14</v>
      </c>
    </row>
    <row r="194" spans="1:12" x14ac:dyDescent="0.25">
      <c r="A194" s="1" t="s">
        <v>1318</v>
      </c>
      <c r="B194" s="1" t="str">
        <f>("035847")</f>
        <v>035847</v>
      </c>
      <c r="C194" s="1" t="str">
        <f>("622454358478")</f>
        <v>622454358478</v>
      </c>
      <c r="D194" s="1">
        <v>405012</v>
      </c>
      <c r="E194" t="s">
        <v>259</v>
      </c>
      <c r="F194" s="3">
        <v>20.861702127659576</v>
      </c>
      <c r="G194" s="1" t="s">
        <v>13</v>
      </c>
      <c r="H194" s="2">
        <v>44621</v>
      </c>
      <c r="I194" s="1">
        <v>0.218</v>
      </c>
      <c r="J194" s="1">
        <v>0.48099999999999998</v>
      </c>
      <c r="K194" s="1">
        <v>25</v>
      </c>
      <c r="L194" s="1" t="s">
        <v>14</v>
      </c>
    </row>
    <row r="195" spans="1:12" x14ac:dyDescent="0.25">
      <c r="A195" s="1" t="s">
        <v>1318</v>
      </c>
      <c r="B195" s="1" t="str">
        <f>("035848")</f>
        <v>035848</v>
      </c>
      <c r="C195" s="1" t="str">
        <f>("622454358485")</f>
        <v>622454358485</v>
      </c>
      <c r="D195" s="1">
        <v>405015</v>
      </c>
      <c r="E195" t="s">
        <v>260</v>
      </c>
      <c r="F195" s="3">
        <v>21.531914893617021</v>
      </c>
      <c r="G195" s="1" t="s">
        <v>13</v>
      </c>
      <c r="H195" s="2">
        <v>44621</v>
      </c>
      <c r="I195" s="1">
        <v>0.159</v>
      </c>
      <c r="J195" s="1">
        <v>0.35099999999999998</v>
      </c>
      <c r="K195" s="1">
        <v>25</v>
      </c>
      <c r="L195" s="1" t="s">
        <v>14</v>
      </c>
    </row>
    <row r="196" spans="1:12" x14ac:dyDescent="0.25">
      <c r="A196" s="1" t="s">
        <v>1318</v>
      </c>
      <c r="B196" s="1" t="str">
        <f>("035849")</f>
        <v>035849</v>
      </c>
      <c r="C196" s="1" t="str">
        <f>("622454358492")</f>
        <v>622454358492</v>
      </c>
      <c r="D196" s="1">
        <v>405020</v>
      </c>
      <c r="E196" t="s">
        <v>261</v>
      </c>
      <c r="F196" s="3">
        <v>28.531914893617024</v>
      </c>
      <c r="G196" s="1" t="s">
        <v>13</v>
      </c>
      <c r="H196" s="2">
        <v>44621</v>
      </c>
      <c r="I196" s="1">
        <v>0.245</v>
      </c>
      <c r="J196" s="1">
        <v>0.54</v>
      </c>
      <c r="K196" s="1">
        <v>10</v>
      </c>
      <c r="L196" s="1" t="s">
        <v>14</v>
      </c>
    </row>
    <row r="197" spans="1:12" x14ac:dyDescent="0.25">
      <c r="A197" s="1" t="s">
        <v>1318</v>
      </c>
      <c r="B197" s="1" t="str">
        <f>("035519")</f>
        <v>035519</v>
      </c>
      <c r="C197" s="1" t="str">
        <f>("622454355194")</f>
        <v>622454355194</v>
      </c>
      <c r="D197" s="1">
        <v>406005</v>
      </c>
      <c r="E197" t="s">
        <v>262</v>
      </c>
      <c r="F197" s="3">
        <v>1.5212765957446808</v>
      </c>
      <c r="G197" s="1" t="s">
        <v>13</v>
      </c>
      <c r="H197" s="2">
        <v>44621</v>
      </c>
      <c r="I197" s="1">
        <v>0.03</v>
      </c>
      <c r="J197" s="1">
        <v>6.6000000000000003E-2</v>
      </c>
      <c r="K197" s="1">
        <v>50</v>
      </c>
      <c r="L197" s="1" t="s">
        <v>14</v>
      </c>
    </row>
    <row r="198" spans="1:12" x14ac:dyDescent="0.25">
      <c r="A198" s="1" t="s">
        <v>1318</v>
      </c>
      <c r="B198" s="1" t="str">
        <f>("035520")</f>
        <v>035520</v>
      </c>
      <c r="C198" s="1" t="str">
        <f>("622454355200")</f>
        <v>622454355200</v>
      </c>
      <c r="D198" s="1">
        <v>406007</v>
      </c>
      <c r="E198" t="s">
        <v>263</v>
      </c>
      <c r="F198" s="3">
        <v>1.7021276595744683</v>
      </c>
      <c r="G198" s="1" t="s">
        <v>13</v>
      </c>
      <c r="H198" s="2">
        <v>44621</v>
      </c>
      <c r="I198" s="1">
        <v>0.05</v>
      </c>
      <c r="J198" s="1">
        <v>0.11</v>
      </c>
      <c r="K198" s="1">
        <v>40</v>
      </c>
      <c r="L198" s="1" t="s">
        <v>14</v>
      </c>
    </row>
    <row r="199" spans="1:12" x14ac:dyDescent="0.25">
      <c r="A199" s="1" t="s">
        <v>1318</v>
      </c>
      <c r="B199" s="1" t="str">
        <f>("035521")</f>
        <v>035521</v>
      </c>
      <c r="C199" s="1" t="str">
        <f>("622454355217")</f>
        <v>622454355217</v>
      </c>
      <c r="D199" s="1">
        <v>406010</v>
      </c>
      <c r="E199" t="s">
        <v>264</v>
      </c>
      <c r="F199" s="3">
        <v>3.0531914893617023</v>
      </c>
      <c r="G199" s="1" t="s">
        <v>13</v>
      </c>
      <c r="H199" s="2">
        <v>44621</v>
      </c>
      <c r="I199" s="1">
        <v>5.6000000000000001E-2</v>
      </c>
      <c r="J199" s="1">
        <v>0.123</v>
      </c>
      <c r="K199" s="1">
        <v>50</v>
      </c>
      <c r="L199" s="1" t="s">
        <v>14</v>
      </c>
    </row>
    <row r="200" spans="1:12" x14ac:dyDescent="0.25">
      <c r="A200" s="1" t="s">
        <v>1318</v>
      </c>
      <c r="B200" s="1" t="str">
        <f>("035522")</f>
        <v>035522</v>
      </c>
      <c r="C200" s="1" t="str">
        <f>("622454355224")</f>
        <v>622454355224</v>
      </c>
      <c r="D200" s="1">
        <v>406012</v>
      </c>
      <c r="E200" t="s">
        <v>265</v>
      </c>
      <c r="F200" s="3">
        <v>5.3829787234042552</v>
      </c>
      <c r="G200" s="1" t="s">
        <v>13</v>
      </c>
      <c r="H200" s="2">
        <v>44621</v>
      </c>
      <c r="I200" s="1">
        <v>0.11600000000000001</v>
      </c>
      <c r="J200" s="1">
        <v>0.25600000000000001</v>
      </c>
      <c r="K200" s="1">
        <v>25</v>
      </c>
      <c r="L200" s="1" t="s">
        <v>14</v>
      </c>
    </row>
    <row r="201" spans="1:12" x14ac:dyDescent="0.25">
      <c r="A201" s="1" t="s">
        <v>1318</v>
      </c>
      <c r="B201" s="1" t="str">
        <f>("035523")</f>
        <v>035523</v>
      </c>
      <c r="C201" s="1" t="str">
        <f>("622454355231")</f>
        <v>622454355231</v>
      </c>
      <c r="D201" s="1">
        <v>406015</v>
      </c>
      <c r="E201" t="s">
        <v>266</v>
      </c>
      <c r="F201" s="3">
        <v>5.8085106382978724</v>
      </c>
      <c r="G201" s="1" t="s">
        <v>13</v>
      </c>
      <c r="H201" s="2">
        <v>44621</v>
      </c>
      <c r="I201" s="1">
        <v>0.14799999999999999</v>
      </c>
      <c r="J201" s="1">
        <v>0.32600000000000001</v>
      </c>
      <c r="K201" s="1">
        <v>25</v>
      </c>
      <c r="L201" s="1" t="s">
        <v>14</v>
      </c>
    </row>
    <row r="202" spans="1:12" x14ac:dyDescent="0.25">
      <c r="A202" s="1" t="s">
        <v>1318</v>
      </c>
      <c r="B202" s="1" t="str">
        <f>("035524")</f>
        <v>035524</v>
      </c>
      <c r="C202" s="1" t="str">
        <f>("622454355248")</f>
        <v>622454355248</v>
      </c>
      <c r="D202" s="1">
        <v>406020</v>
      </c>
      <c r="E202" t="s">
        <v>267</v>
      </c>
      <c r="F202" s="3">
        <v>9.1063829787234045</v>
      </c>
      <c r="G202" s="1" t="s">
        <v>13</v>
      </c>
      <c r="H202" s="2">
        <v>44621</v>
      </c>
      <c r="I202" s="1">
        <v>0.16400000000000001</v>
      </c>
      <c r="J202" s="1">
        <v>0.36199999999999999</v>
      </c>
      <c r="K202" s="1">
        <v>20</v>
      </c>
      <c r="L202" s="1" t="s">
        <v>14</v>
      </c>
    </row>
    <row r="203" spans="1:12" x14ac:dyDescent="0.25">
      <c r="A203" s="1" t="s">
        <v>1318</v>
      </c>
      <c r="B203" s="1" t="str">
        <f>("035525")</f>
        <v>035525</v>
      </c>
      <c r="C203" s="1" t="str">
        <f>("622454355255")</f>
        <v>622454355255</v>
      </c>
      <c r="D203" s="1">
        <v>406025</v>
      </c>
      <c r="E203" t="s">
        <v>268</v>
      </c>
      <c r="F203" s="3">
        <v>27.74468085106383</v>
      </c>
      <c r="G203" s="1" t="s">
        <v>13</v>
      </c>
      <c r="H203" s="2">
        <v>44621</v>
      </c>
      <c r="I203" s="1">
        <v>0.33800000000000002</v>
      </c>
      <c r="J203" s="1">
        <v>0.745</v>
      </c>
      <c r="K203" s="1">
        <v>10</v>
      </c>
      <c r="L203" s="1" t="s">
        <v>14</v>
      </c>
    </row>
    <row r="204" spans="1:12" x14ac:dyDescent="0.25">
      <c r="A204" s="1" t="s">
        <v>1318</v>
      </c>
      <c r="B204" s="1" t="str">
        <f>("035526")</f>
        <v>035526</v>
      </c>
      <c r="C204" s="1" t="str">
        <f>("622454355262")</f>
        <v>622454355262</v>
      </c>
      <c r="D204" s="1">
        <v>406030</v>
      </c>
      <c r="E204" t="s">
        <v>269</v>
      </c>
      <c r="F204" s="3">
        <v>33.180851063829792</v>
      </c>
      <c r="G204" s="1" t="s">
        <v>13</v>
      </c>
      <c r="H204" s="2">
        <v>44621</v>
      </c>
      <c r="I204" s="1">
        <v>0.51100000000000001</v>
      </c>
      <c r="J204" s="1">
        <v>1.127</v>
      </c>
      <c r="K204" s="1">
        <v>10</v>
      </c>
      <c r="L204" s="1" t="s">
        <v>14</v>
      </c>
    </row>
    <row r="205" spans="1:12" x14ac:dyDescent="0.25">
      <c r="A205" s="1" t="s">
        <v>1318</v>
      </c>
      <c r="B205" s="1" t="str">
        <f>("035527")</f>
        <v>035527</v>
      </c>
      <c r="C205" s="1" t="str">
        <f>("622454355279")</f>
        <v>622454355279</v>
      </c>
      <c r="D205" s="1">
        <v>406040</v>
      </c>
      <c r="E205" t="s">
        <v>270</v>
      </c>
      <c r="F205" s="3">
        <v>59.329787234042563</v>
      </c>
      <c r="G205" s="1" t="s">
        <v>13</v>
      </c>
      <c r="H205" s="2">
        <v>44621</v>
      </c>
      <c r="I205" s="1">
        <v>0.86599999999999999</v>
      </c>
      <c r="J205" s="1">
        <v>1.909</v>
      </c>
      <c r="K205" s="1">
        <v>5</v>
      </c>
      <c r="L205" s="1" t="s">
        <v>14</v>
      </c>
    </row>
    <row r="206" spans="1:12" x14ac:dyDescent="0.25">
      <c r="A206" s="1" t="s">
        <v>1318</v>
      </c>
      <c r="B206" s="1" t="str">
        <f>("035528")</f>
        <v>035528</v>
      </c>
      <c r="C206" s="1" t="str">
        <f>("622454355286")</f>
        <v>622454355286</v>
      </c>
      <c r="D206" s="1">
        <v>406050</v>
      </c>
      <c r="E206" t="s">
        <v>271</v>
      </c>
      <c r="F206" s="3">
        <v>153.28723404255319</v>
      </c>
      <c r="G206" s="1" t="s">
        <v>13</v>
      </c>
      <c r="H206" s="2">
        <v>44621</v>
      </c>
      <c r="I206" s="1">
        <v>1.542</v>
      </c>
      <c r="J206" s="1">
        <v>3.4</v>
      </c>
      <c r="K206" s="1">
        <v>4</v>
      </c>
      <c r="L206" s="1" t="s">
        <v>14</v>
      </c>
    </row>
    <row r="207" spans="1:12" x14ac:dyDescent="0.25">
      <c r="A207" s="1" t="s">
        <v>1318</v>
      </c>
      <c r="B207" s="1" t="str">
        <f>("035529")</f>
        <v>035529</v>
      </c>
      <c r="C207" s="1" t="str">
        <f>("622454355293")</f>
        <v>622454355293</v>
      </c>
      <c r="D207" s="1">
        <v>406060</v>
      </c>
      <c r="E207" t="s">
        <v>272</v>
      </c>
      <c r="F207" s="3">
        <v>188.63829787234042</v>
      </c>
      <c r="G207" s="1" t="s">
        <v>13</v>
      </c>
      <c r="H207" s="2">
        <v>44621</v>
      </c>
      <c r="I207" s="1">
        <v>2.081</v>
      </c>
      <c r="J207" s="1">
        <v>4.5880000000000001</v>
      </c>
      <c r="K207" s="1">
        <v>5</v>
      </c>
      <c r="L207" s="1" t="s">
        <v>14</v>
      </c>
    </row>
    <row r="208" spans="1:12" x14ac:dyDescent="0.25">
      <c r="A208" s="1" t="s">
        <v>1318</v>
      </c>
      <c r="B208" s="1" t="str">
        <f>("035530")</f>
        <v>035530</v>
      </c>
      <c r="C208" s="1" t="str">
        <f>("622454355309")</f>
        <v>622454355309</v>
      </c>
      <c r="D208" s="1">
        <v>406080</v>
      </c>
      <c r="E208" t="s">
        <v>273</v>
      </c>
      <c r="F208" s="3">
        <v>485.7021276595745</v>
      </c>
      <c r="G208" s="1" t="s">
        <v>13</v>
      </c>
      <c r="H208" s="2">
        <v>44621</v>
      </c>
      <c r="I208" s="1">
        <v>4.76</v>
      </c>
      <c r="J208" s="1">
        <v>10.494</v>
      </c>
      <c r="K208" s="1">
        <v>2</v>
      </c>
      <c r="L208" s="1" t="s">
        <v>14</v>
      </c>
    </row>
    <row r="209" spans="1:12" x14ac:dyDescent="0.25">
      <c r="A209" s="1" t="s">
        <v>1318</v>
      </c>
      <c r="B209" s="1" t="str">
        <f>("035928")</f>
        <v>035928</v>
      </c>
      <c r="C209" s="1" t="str">
        <f>("622454359284")</f>
        <v>622454359284</v>
      </c>
      <c r="D209" s="1">
        <v>406100</v>
      </c>
      <c r="E209" t="s">
        <v>274</v>
      </c>
      <c r="F209" s="3">
        <v>1829.4893617021278</v>
      </c>
      <c r="G209" s="1" t="s">
        <v>13</v>
      </c>
      <c r="H209" s="2">
        <v>44621</v>
      </c>
      <c r="I209" s="1">
        <v>8.5879999999999992</v>
      </c>
      <c r="J209" s="1">
        <v>18.933</v>
      </c>
      <c r="L209" s="1" t="s">
        <v>27</v>
      </c>
    </row>
    <row r="210" spans="1:12" x14ac:dyDescent="0.25">
      <c r="A210" s="1" t="s">
        <v>1318</v>
      </c>
      <c r="B210" s="1" t="str">
        <f>("035929")</f>
        <v>035929</v>
      </c>
      <c r="C210" s="1" t="str">
        <f>("622454359291")</f>
        <v>622454359291</v>
      </c>
      <c r="D210" s="1">
        <v>406120</v>
      </c>
      <c r="E210" t="s">
        <v>275</v>
      </c>
      <c r="F210" s="3">
        <v>2453.6702127659573</v>
      </c>
      <c r="G210" s="1" t="s">
        <v>13</v>
      </c>
      <c r="H210" s="2">
        <v>44621</v>
      </c>
      <c r="I210" s="1">
        <v>13.72</v>
      </c>
      <c r="J210" s="1">
        <v>30.247</v>
      </c>
      <c r="K210" s="1">
        <v>1</v>
      </c>
      <c r="L210" s="1" t="s">
        <v>27</v>
      </c>
    </row>
    <row r="211" spans="1:12" x14ac:dyDescent="0.25">
      <c r="A211" s="1" t="s">
        <v>1318</v>
      </c>
      <c r="B211" s="1" t="str">
        <f>("125522")</f>
        <v>125522</v>
      </c>
      <c r="C211" s="1" t="str">
        <f>("622454463561")</f>
        <v>622454463561</v>
      </c>
      <c r="D211" s="1" t="s">
        <v>276</v>
      </c>
      <c r="E211" t="s">
        <v>277</v>
      </c>
      <c r="F211" s="3">
        <v>675.24</v>
      </c>
      <c r="G211" s="1" t="s">
        <v>13</v>
      </c>
      <c r="H211" s="2">
        <v>44621</v>
      </c>
      <c r="I211" s="1">
        <v>8.7200000000000006</v>
      </c>
      <c r="J211" s="1">
        <v>19.224</v>
      </c>
      <c r="L211" s="1" t="s">
        <v>31</v>
      </c>
    </row>
    <row r="212" spans="1:12" x14ac:dyDescent="0.25">
      <c r="A212" s="1" t="s">
        <v>1318</v>
      </c>
      <c r="B212" s="1" t="str">
        <f>("125511")</f>
        <v>125511</v>
      </c>
      <c r="C212" s="1" t="str">
        <f>("622454463455")</f>
        <v>622454463455</v>
      </c>
      <c r="D212" s="1" t="s">
        <v>278</v>
      </c>
      <c r="E212" t="s">
        <v>279</v>
      </c>
      <c r="F212" s="3">
        <v>1103.6099999999999</v>
      </c>
      <c r="G212" s="1" t="s">
        <v>13</v>
      </c>
      <c r="H212" s="2">
        <v>44621</v>
      </c>
      <c r="I212" s="1">
        <v>16.893999999999998</v>
      </c>
      <c r="J212" s="1">
        <v>37.244999999999997</v>
      </c>
      <c r="L212" s="1" t="s">
        <v>31</v>
      </c>
    </row>
    <row r="213" spans="1:12" x14ac:dyDescent="0.25">
      <c r="A213" s="1" t="s">
        <v>1318</v>
      </c>
      <c r="B213" s="1" t="str">
        <f>("125513")</f>
        <v>125513</v>
      </c>
      <c r="C213" s="1" t="str">
        <f>("622454463479")</f>
        <v>622454463479</v>
      </c>
      <c r="D213" s="1" t="s">
        <v>280</v>
      </c>
      <c r="E213" t="s">
        <v>281</v>
      </c>
      <c r="F213" s="3">
        <v>1590.67</v>
      </c>
      <c r="G213" s="1" t="s">
        <v>13</v>
      </c>
      <c r="H213" s="2">
        <v>44621</v>
      </c>
      <c r="I213" s="1">
        <v>27.942</v>
      </c>
      <c r="J213" s="1">
        <v>61.600999999999999</v>
      </c>
      <c r="L213" s="1" t="s">
        <v>31</v>
      </c>
    </row>
    <row r="214" spans="1:12" x14ac:dyDescent="0.25">
      <c r="A214" s="1" t="s">
        <v>1318</v>
      </c>
      <c r="B214" s="1" t="str">
        <f>("125515")</f>
        <v>125515</v>
      </c>
      <c r="C214" s="1" t="str">
        <f>("622454463493")</f>
        <v>622454463493</v>
      </c>
      <c r="D214" s="1" t="s">
        <v>282</v>
      </c>
      <c r="E214" t="s">
        <v>283</v>
      </c>
      <c r="F214" s="3">
        <v>2276.17</v>
      </c>
      <c r="G214" s="1" t="s">
        <v>13</v>
      </c>
      <c r="H214" s="2">
        <v>44621</v>
      </c>
      <c r="I214" s="1">
        <v>40.756</v>
      </c>
      <c r="J214" s="1">
        <v>89.850999999999999</v>
      </c>
      <c r="L214" s="1" t="s">
        <v>31</v>
      </c>
    </row>
    <row r="215" spans="1:12" x14ac:dyDescent="0.25">
      <c r="A215" s="1" t="s">
        <v>1318</v>
      </c>
      <c r="B215" s="1" t="str">
        <f>("125518")</f>
        <v>125518</v>
      </c>
      <c r="C215" s="1" t="str">
        <f>("622454463523")</f>
        <v>622454463523</v>
      </c>
      <c r="D215" s="1" t="s">
        <v>284</v>
      </c>
      <c r="E215" t="s">
        <v>285</v>
      </c>
      <c r="F215" s="3">
        <v>2443.44</v>
      </c>
      <c r="G215" s="1" t="s">
        <v>13</v>
      </c>
      <c r="H215" s="2">
        <v>44621</v>
      </c>
      <c r="I215" s="1">
        <v>64.936000000000007</v>
      </c>
      <c r="J215" s="1">
        <v>143.15899999999999</v>
      </c>
      <c r="L215" s="1" t="s">
        <v>31</v>
      </c>
    </row>
    <row r="216" spans="1:12" x14ac:dyDescent="0.25">
      <c r="A216" s="1" t="s">
        <v>1318</v>
      </c>
      <c r="B216" s="1" t="str">
        <f>("125519")</f>
        <v>125519</v>
      </c>
      <c r="C216" s="1" t="str">
        <f>("622454463530")</f>
        <v>622454463530</v>
      </c>
      <c r="D216" s="1" t="s">
        <v>286</v>
      </c>
      <c r="E216" t="s">
        <v>287</v>
      </c>
      <c r="F216" s="3">
        <v>3696.2</v>
      </c>
      <c r="G216" s="1" t="s">
        <v>13</v>
      </c>
      <c r="H216" s="2">
        <v>44621</v>
      </c>
      <c r="I216" s="1">
        <v>78.59</v>
      </c>
      <c r="J216" s="1">
        <v>173.261</v>
      </c>
      <c r="L216" s="1" t="s">
        <v>31</v>
      </c>
    </row>
    <row r="217" spans="1:12" x14ac:dyDescent="0.25">
      <c r="A217" s="1" t="s">
        <v>1318</v>
      </c>
      <c r="B217" s="1" t="str">
        <f>("125520")</f>
        <v>125520</v>
      </c>
      <c r="C217" s="1" t="str">
        <f>("622454463547")</f>
        <v>622454463547</v>
      </c>
      <c r="D217" s="1" t="s">
        <v>288</v>
      </c>
      <c r="E217" t="s">
        <v>289</v>
      </c>
      <c r="F217" s="3">
        <v>5539.09</v>
      </c>
      <c r="G217" s="1" t="s">
        <v>13</v>
      </c>
      <c r="H217" s="2">
        <v>44621</v>
      </c>
      <c r="I217" s="1">
        <v>124.577</v>
      </c>
      <c r="J217" s="1">
        <v>274.64499999999998</v>
      </c>
      <c r="L217" s="1" t="s">
        <v>31</v>
      </c>
    </row>
    <row r="218" spans="1:12" x14ac:dyDescent="0.25">
      <c r="A218" s="1" t="s">
        <v>1318</v>
      </c>
      <c r="B218" s="1" t="str">
        <f>("235928")</f>
        <v>235928</v>
      </c>
      <c r="C218" s="1" t="str">
        <f>("622454397323")</f>
        <v>622454397323</v>
      </c>
      <c r="D218" s="1">
        <v>409100</v>
      </c>
      <c r="E218" t="s">
        <v>290</v>
      </c>
      <c r="F218" s="3">
        <v>2849.1595744680853</v>
      </c>
      <c r="G218" s="1" t="s">
        <v>13</v>
      </c>
      <c r="H218" s="2">
        <v>44621</v>
      </c>
      <c r="I218" s="1">
        <v>7.34</v>
      </c>
      <c r="J218" s="1">
        <v>16.181999999999999</v>
      </c>
      <c r="K218" s="1">
        <v>1</v>
      </c>
      <c r="L218" s="1" t="s">
        <v>27</v>
      </c>
    </row>
    <row r="219" spans="1:12" x14ac:dyDescent="0.25">
      <c r="A219" s="1" t="s">
        <v>1318</v>
      </c>
      <c r="B219" s="1" t="str">
        <f>("235929")</f>
        <v>235929</v>
      </c>
      <c r="C219" s="1" t="str">
        <f>("622454397330")</f>
        <v>622454397330</v>
      </c>
      <c r="D219" s="1">
        <v>409120</v>
      </c>
      <c r="E219" t="s">
        <v>291</v>
      </c>
      <c r="F219" s="3">
        <v>3595.6702127659573</v>
      </c>
      <c r="G219" s="1" t="s">
        <v>13</v>
      </c>
      <c r="H219" s="2">
        <v>44621</v>
      </c>
      <c r="I219" s="1">
        <v>11.79</v>
      </c>
      <c r="J219" s="1">
        <v>25.992000000000001</v>
      </c>
      <c r="K219" s="1">
        <v>1</v>
      </c>
      <c r="L219" s="1" t="s">
        <v>27</v>
      </c>
    </row>
    <row r="220" spans="1:12" x14ac:dyDescent="0.25">
      <c r="A220" s="1" t="s">
        <v>1318</v>
      </c>
      <c r="B220" s="1" t="str">
        <f>("035506")</f>
        <v>035506</v>
      </c>
      <c r="C220" s="1" t="str">
        <f>("622454355064")</f>
        <v>622454355064</v>
      </c>
      <c r="D220" s="1">
        <v>407005</v>
      </c>
      <c r="E220" t="s">
        <v>292</v>
      </c>
      <c r="F220" s="3">
        <v>1.8829787234042554</v>
      </c>
      <c r="G220" s="1" t="s">
        <v>13</v>
      </c>
      <c r="H220" s="2">
        <v>44621</v>
      </c>
      <c r="I220" s="1">
        <v>3.7999999999999999E-2</v>
      </c>
      <c r="J220" s="1">
        <v>8.4000000000000005E-2</v>
      </c>
      <c r="K220" s="1">
        <v>50</v>
      </c>
      <c r="L220" s="1" t="s">
        <v>14</v>
      </c>
    </row>
    <row r="221" spans="1:12" x14ac:dyDescent="0.25">
      <c r="A221" s="1" t="s">
        <v>1318</v>
      </c>
      <c r="B221" s="1" t="str">
        <f>("035507")</f>
        <v>035507</v>
      </c>
      <c r="C221" s="1" t="str">
        <f>("622454355071")</f>
        <v>622454355071</v>
      </c>
      <c r="D221" s="1">
        <v>407007</v>
      </c>
      <c r="E221" t="s">
        <v>293</v>
      </c>
      <c r="F221" s="3">
        <v>2.1489361702127661</v>
      </c>
      <c r="G221" s="1" t="s">
        <v>13</v>
      </c>
      <c r="H221" s="2">
        <v>44621</v>
      </c>
      <c r="I221" s="1">
        <v>5.6000000000000001E-2</v>
      </c>
      <c r="J221" s="1">
        <v>0.123</v>
      </c>
      <c r="K221" s="1">
        <v>75</v>
      </c>
      <c r="L221" s="1" t="s">
        <v>14</v>
      </c>
    </row>
    <row r="222" spans="1:12" x14ac:dyDescent="0.25">
      <c r="A222" s="1" t="s">
        <v>1318</v>
      </c>
      <c r="B222" s="1" t="str">
        <f>("035508")</f>
        <v>035508</v>
      </c>
      <c r="C222" s="1" t="str">
        <f>("622454355088")</f>
        <v>622454355088</v>
      </c>
      <c r="D222" s="1">
        <v>407010</v>
      </c>
      <c r="E222" t="s">
        <v>294</v>
      </c>
      <c r="F222" s="3">
        <v>4.0744680851063837</v>
      </c>
      <c r="G222" s="1" t="s">
        <v>13</v>
      </c>
      <c r="H222" s="2">
        <v>44621</v>
      </c>
      <c r="I222" s="1">
        <v>9.1999999999999998E-2</v>
      </c>
      <c r="J222" s="1">
        <v>0.20300000000000001</v>
      </c>
      <c r="K222" s="1">
        <v>40</v>
      </c>
      <c r="L222" s="1" t="s">
        <v>14</v>
      </c>
    </row>
    <row r="223" spans="1:12" x14ac:dyDescent="0.25">
      <c r="A223" s="1" t="s">
        <v>1318</v>
      </c>
      <c r="B223" s="1" t="str">
        <f>("035509")</f>
        <v>035509</v>
      </c>
      <c r="C223" s="1" t="str">
        <f>("622454355095")</f>
        <v>622454355095</v>
      </c>
      <c r="D223" s="1">
        <v>407012</v>
      </c>
      <c r="E223" t="s">
        <v>295</v>
      </c>
      <c r="F223" s="3">
        <v>6.8191489361702136</v>
      </c>
      <c r="G223" s="1" t="s">
        <v>13</v>
      </c>
      <c r="H223" s="2">
        <v>44621</v>
      </c>
      <c r="I223" s="1">
        <v>0.114</v>
      </c>
      <c r="J223" s="1">
        <v>0.251</v>
      </c>
      <c r="K223" s="1">
        <v>25</v>
      </c>
      <c r="L223" s="1" t="s">
        <v>14</v>
      </c>
    </row>
    <row r="224" spans="1:12" x14ac:dyDescent="0.25">
      <c r="A224" s="1" t="s">
        <v>1318</v>
      </c>
      <c r="B224" s="1" t="str">
        <f>("035510")</f>
        <v>035510</v>
      </c>
      <c r="C224" s="1" t="str">
        <f>("622454355101")</f>
        <v>622454355101</v>
      </c>
      <c r="D224" s="1">
        <v>407015</v>
      </c>
      <c r="E224" t="s">
        <v>296</v>
      </c>
      <c r="F224" s="3">
        <v>7.5531914893617023</v>
      </c>
      <c r="G224" s="1" t="s">
        <v>13</v>
      </c>
      <c r="H224" s="2">
        <v>44621</v>
      </c>
      <c r="I224" s="1">
        <v>0.14199999999999999</v>
      </c>
      <c r="J224" s="1">
        <v>0.313</v>
      </c>
      <c r="K224" s="1">
        <v>25</v>
      </c>
      <c r="L224" s="1" t="s">
        <v>14</v>
      </c>
    </row>
    <row r="225" spans="1:12" x14ac:dyDescent="0.25">
      <c r="A225" s="1" t="s">
        <v>1318</v>
      </c>
      <c r="B225" s="1" t="str">
        <f>("035511")</f>
        <v>035511</v>
      </c>
      <c r="C225" s="1" t="str">
        <f>("622454355118")</f>
        <v>622454355118</v>
      </c>
      <c r="D225" s="1">
        <v>407020</v>
      </c>
      <c r="E225" t="s">
        <v>297</v>
      </c>
      <c r="F225" s="3">
        <v>19.468085106382979</v>
      </c>
      <c r="G225" s="1" t="s">
        <v>13</v>
      </c>
      <c r="H225" s="2">
        <v>44621</v>
      </c>
      <c r="I225" s="1">
        <v>0.22</v>
      </c>
      <c r="J225" s="1">
        <v>0.48499999999999999</v>
      </c>
      <c r="K225" s="1">
        <v>10</v>
      </c>
      <c r="L225" s="1" t="s">
        <v>14</v>
      </c>
    </row>
    <row r="226" spans="1:12" x14ac:dyDescent="0.25">
      <c r="A226" s="1" t="s">
        <v>1318</v>
      </c>
      <c r="B226" s="1" t="str">
        <f>("035512")</f>
        <v>035512</v>
      </c>
      <c r="C226" s="1" t="str">
        <f>("622454355125")</f>
        <v>622454355125</v>
      </c>
      <c r="D226" s="1">
        <v>407025</v>
      </c>
      <c r="E226" t="s">
        <v>298</v>
      </c>
      <c r="F226" s="3">
        <v>48.170212765957451</v>
      </c>
      <c r="G226" s="1" t="s">
        <v>13</v>
      </c>
      <c r="H226" s="2">
        <v>44621</v>
      </c>
      <c r="I226" s="1">
        <v>0.435</v>
      </c>
      <c r="J226" s="1">
        <v>0.95899999999999996</v>
      </c>
      <c r="K226" s="1">
        <v>10</v>
      </c>
      <c r="L226" s="1" t="s">
        <v>14</v>
      </c>
    </row>
    <row r="227" spans="1:12" x14ac:dyDescent="0.25">
      <c r="A227" s="1" t="s">
        <v>1318</v>
      </c>
      <c r="B227" s="1" t="str">
        <f>("035589")</f>
        <v>035589</v>
      </c>
      <c r="C227" s="1" t="str">
        <f>("622454355897")</f>
        <v>622454355897</v>
      </c>
      <c r="D227" s="1">
        <v>407030</v>
      </c>
      <c r="E227" t="s">
        <v>299</v>
      </c>
      <c r="F227" s="3">
        <v>72.170212765957459</v>
      </c>
      <c r="G227" s="1" t="s">
        <v>13</v>
      </c>
      <c r="H227" s="2">
        <v>44621</v>
      </c>
      <c r="I227" s="1">
        <v>0.63500000000000001</v>
      </c>
      <c r="J227" s="1">
        <v>1.4</v>
      </c>
      <c r="K227" s="1">
        <v>8</v>
      </c>
      <c r="L227" s="1" t="s">
        <v>14</v>
      </c>
    </row>
    <row r="228" spans="1:12" x14ac:dyDescent="0.25">
      <c r="A228" s="1" t="s">
        <v>1318</v>
      </c>
      <c r="B228" s="1" t="str">
        <f>("035513")</f>
        <v>035513</v>
      </c>
      <c r="C228" s="1" t="str">
        <f>("622454355132")</f>
        <v>622454355132</v>
      </c>
      <c r="D228" s="1">
        <v>407040</v>
      </c>
      <c r="E228" t="s">
        <v>300</v>
      </c>
      <c r="F228" s="3">
        <v>109.43617021276597</v>
      </c>
      <c r="G228" s="1" t="s">
        <v>13</v>
      </c>
      <c r="H228" s="2">
        <v>44621</v>
      </c>
      <c r="I228" s="1">
        <v>1.0429999999999999</v>
      </c>
      <c r="J228" s="1">
        <v>2.2989999999999999</v>
      </c>
      <c r="K228" s="1">
        <v>8</v>
      </c>
      <c r="L228" s="1" t="s">
        <v>14</v>
      </c>
    </row>
    <row r="229" spans="1:12" x14ac:dyDescent="0.25">
      <c r="A229" s="1" t="s">
        <v>1318</v>
      </c>
      <c r="B229" s="1" t="str">
        <f>("035538")</f>
        <v>035538</v>
      </c>
      <c r="C229" s="1" t="str">
        <f>("622454355385")</f>
        <v>622454355385</v>
      </c>
      <c r="D229" s="1">
        <v>408005</v>
      </c>
      <c r="E229" t="s">
        <v>301</v>
      </c>
      <c r="F229" s="3">
        <v>3.6489361702127665</v>
      </c>
      <c r="G229" s="1" t="s">
        <v>13</v>
      </c>
      <c r="H229" s="2">
        <v>44621</v>
      </c>
      <c r="I229" s="1">
        <v>3.2000000000000001E-2</v>
      </c>
      <c r="J229" s="1">
        <v>7.0999999999999994E-2</v>
      </c>
      <c r="K229" s="1">
        <v>50</v>
      </c>
      <c r="L229" s="1" t="s">
        <v>14</v>
      </c>
    </row>
    <row r="230" spans="1:12" x14ac:dyDescent="0.25">
      <c r="A230" s="1" t="s">
        <v>1318</v>
      </c>
      <c r="B230" s="1" t="str">
        <f>("035539")</f>
        <v>035539</v>
      </c>
      <c r="C230" s="1" t="str">
        <f>("622454355392")</f>
        <v>622454355392</v>
      </c>
      <c r="D230" s="1">
        <v>408007</v>
      </c>
      <c r="E230" t="s">
        <v>302</v>
      </c>
      <c r="F230" s="3">
        <v>5.4361702127659584</v>
      </c>
      <c r="G230" s="1" t="s">
        <v>13</v>
      </c>
      <c r="H230" s="2">
        <v>44621</v>
      </c>
      <c r="I230" s="1">
        <v>4.4999999999999998E-2</v>
      </c>
      <c r="J230" s="1">
        <v>9.9000000000000005E-2</v>
      </c>
      <c r="K230" s="1">
        <v>50</v>
      </c>
      <c r="L230" s="1" t="s">
        <v>14</v>
      </c>
    </row>
    <row r="231" spans="1:12" x14ac:dyDescent="0.25">
      <c r="A231" s="1" t="s">
        <v>1318</v>
      </c>
      <c r="B231" s="1" t="str">
        <f>("035540")</f>
        <v>035540</v>
      </c>
      <c r="C231" s="1" t="str">
        <f>("622454355408")</f>
        <v>622454355408</v>
      </c>
      <c r="D231" s="1">
        <v>408010</v>
      </c>
      <c r="E231" t="s">
        <v>303</v>
      </c>
      <c r="F231" s="3">
        <v>11.595744680851064</v>
      </c>
      <c r="G231" s="1" t="s">
        <v>13</v>
      </c>
      <c r="H231" s="2">
        <v>44621</v>
      </c>
      <c r="I231" s="1">
        <v>8.5999999999999993E-2</v>
      </c>
      <c r="J231" s="1">
        <v>0.19</v>
      </c>
      <c r="K231" s="1">
        <v>50</v>
      </c>
      <c r="L231" s="1" t="s">
        <v>14</v>
      </c>
    </row>
    <row r="232" spans="1:12" x14ac:dyDescent="0.25">
      <c r="A232" s="1" t="s">
        <v>1318</v>
      </c>
      <c r="B232" s="1" t="str">
        <f>("035541")</f>
        <v>035541</v>
      </c>
      <c r="C232" s="1" t="str">
        <f>("622454355415")</f>
        <v>622454355415</v>
      </c>
      <c r="D232" s="1">
        <v>408012</v>
      </c>
      <c r="E232" t="s">
        <v>304</v>
      </c>
      <c r="F232" s="3">
        <v>12.425531914893618</v>
      </c>
      <c r="G232" s="1" t="s">
        <v>13</v>
      </c>
      <c r="H232" s="2">
        <v>44621</v>
      </c>
      <c r="I232" s="1">
        <v>0.11799999999999999</v>
      </c>
      <c r="J232" s="1">
        <v>0.26</v>
      </c>
      <c r="K232" s="1">
        <v>25</v>
      </c>
      <c r="L232" s="1" t="s">
        <v>14</v>
      </c>
    </row>
    <row r="233" spans="1:12" x14ac:dyDescent="0.25">
      <c r="A233" s="1" t="s">
        <v>1318</v>
      </c>
      <c r="B233" s="1" t="str">
        <f>("035542")</f>
        <v>035542</v>
      </c>
      <c r="C233" s="1" t="str">
        <f>("622454355422")</f>
        <v>622454355422</v>
      </c>
      <c r="D233" s="1">
        <v>408015</v>
      </c>
      <c r="E233" t="s">
        <v>305</v>
      </c>
      <c r="F233" s="3">
        <v>15.680851063829788</v>
      </c>
      <c r="G233" s="1" t="s">
        <v>13</v>
      </c>
      <c r="H233" s="2">
        <v>44621</v>
      </c>
      <c r="I233" s="1">
        <v>0.159</v>
      </c>
      <c r="J233" s="1">
        <v>0.35099999999999998</v>
      </c>
      <c r="K233" s="1">
        <v>25</v>
      </c>
      <c r="L233" s="1" t="s">
        <v>14</v>
      </c>
    </row>
    <row r="234" spans="1:12" x14ac:dyDescent="0.25">
      <c r="A234" s="1" t="s">
        <v>1318</v>
      </c>
      <c r="B234" s="1" t="str">
        <f>("035543")</f>
        <v>035543</v>
      </c>
      <c r="C234" s="1" t="str">
        <f>("622454355439")</f>
        <v>622454355439</v>
      </c>
      <c r="D234" s="1">
        <v>408020</v>
      </c>
      <c r="E234" t="s">
        <v>306</v>
      </c>
      <c r="F234" s="3">
        <v>23.808510638297872</v>
      </c>
      <c r="G234" s="1" t="s">
        <v>13</v>
      </c>
      <c r="H234" s="2">
        <v>44621</v>
      </c>
      <c r="I234" s="1">
        <v>0.21299999999999999</v>
      </c>
      <c r="J234" s="1">
        <v>0.47</v>
      </c>
      <c r="K234" s="1">
        <v>10</v>
      </c>
      <c r="L234" s="1" t="s">
        <v>14</v>
      </c>
    </row>
    <row r="235" spans="1:12" x14ac:dyDescent="0.25">
      <c r="A235" s="1" t="s">
        <v>1318</v>
      </c>
      <c r="B235" s="1" t="str">
        <f>("035535")</f>
        <v>035535</v>
      </c>
      <c r="C235" s="1" t="str">
        <f>("622454355354")</f>
        <v>622454355354</v>
      </c>
      <c r="D235" s="1">
        <v>406101</v>
      </c>
      <c r="E235" t="s">
        <v>307</v>
      </c>
      <c r="F235" s="3">
        <v>3.0531914893617023</v>
      </c>
      <c r="G235" s="1" t="s">
        <v>13</v>
      </c>
      <c r="H235" s="2">
        <v>44621</v>
      </c>
      <c r="I235" s="1">
        <v>3.2000000000000001E-2</v>
      </c>
      <c r="J235" s="1">
        <v>7.0999999999999994E-2</v>
      </c>
      <c r="K235" s="1">
        <v>50</v>
      </c>
      <c r="L235" s="1" t="s">
        <v>14</v>
      </c>
    </row>
    <row r="236" spans="1:12" x14ac:dyDescent="0.25">
      <c r="A236" s="1" t="s">
        <v>1318</v>
      </c>
      <c r="B236" s="1" t="str">
        <f>("035536")</f>
        <v>035536</v>
      </c>
      <c r="C236" s="1" t="str">
        <f>("622454355361")</f>
        <v>622454355361</v>
      </c>
      <c r="D236" s="1">
        <v>406130</v>
      </c>
      <c r="E236" t="s">
        <v>308</v>
      </c>
      <c r="F236" s="3">
        <v>4.5319148936170217</v>
      </c>
      <c r="G236" s="1" t="s">
        <v>13</v>
      </c>
      <c r="H236" s="2">
        <v>44621</v>
      </c>
      <c r="I236" s="1">
        <v>0.05</v>
      </c>
      <c r="J236" s="1">
        <v>0.11</v>
      </c>
      <c r="K236" s="1">
        <v>50</v>
      </c>
      <c r="L236" s="1" t="s">
        <v>14</v>
      </c>
    </row>
    <row r="237" spans="1:12" x14ac:dyDescent="0.25">
      <c r="A237" s="1" t="s">
        <v>1318</v>
      </c>
      <c r="B237" s="1" t="str">
        <f>("035978")</f>
        <v>035978</v>
      </c>
      <c r="C237" s="1" t="str">
        <f>("622454359789")</f>
        <v>622454359789</v>
      </c>
      <c r="D237" s="1">
        <v>406131</v>
      </c>
      <c r="E237" t="s">
        <v>309</v>
      </c>
      <c r="F237" s="3">
        <v>5.4361702127659584</v>
      </c>
      <c r="G237" s="1" t="s">
        <v>13</v>
      </c>
      <c r="H237" s="2">
        <v>44621</v>
      </c>
      <c r="I237" s="1">
        <v>5.5E-2</v>
      </c>
      <c r="J237" s="1">
        <v>0.121</v>
      </c>
      <c r="K237" s="1">
        <v>50</v>
      </c>
      <c r="L237" s="1" t="s">
        <v>14</v>
      </c>
    </row>
    <row r="238" spans="1:12" x14ac:dyDescent="0.25">
      <c r="A238" s="1" t="s">
        <v>1318</v>
      </c>
      <c r="B238" s="1" t="str">
        <f>("235029")</f>
        <v>235029</v>
      </c>
      <c r="C238" s="1" t="str">
        <f>("622454010420")</f>
        <v>622454010420</v>
      </c>
      <c r="D238" s="1">
        <v>406166</v>
      </c>
      <c r="E238" t="s">
        <v>310</v>
      </c>
      <c r="F238" s="3">
        <v>8.6595744680851077</v>
      </c>
      <c r="G238" s="1" t="s">
        <v>13</v>
      </c>
      <c r="H238" s="2">
        <v>44621</v>
      </c>
      <c r="I238" s="1">
        <v>0.06</v>
      </c>
      <c r="J238" s="1">
        <v>0.13200000000000001</v>
      </c>
      <c r="K238" s="1">
        <v>25</v>
      </c>
      <c r="L238" s="1" t="s">
        <v>14</v>
      </c>
    </row>
    <row r="239" spans="1:12" x14ac:dyDescent="0.25">
      <c r="A239" s="1" t="s">
        <v>1318</v>
      </c>
      <c r="B239" s="1" t="str">
        <f>("235030")</f>
        <v>235030</v>
      </c>
      <c r="C239" s="1" t="str">
        <f>("622454010437")</f>
        <v>622454010437</v>
      </c>
      <c r="D239" s="1">
        <v>406167</v>
      </c>
      <c r="E239" t="s">
        <v>311</v>
      </c>
      <c r="F239" s="3">
        <v>8.6595744680851077</v>
      </c>
      <c r="G239" s="1" t="s">
        <v>13</v>
      </c>
      <c r="H239" s="2">
        <v>44621</v>
      </c>
      <c r="I239" s="1">
        <v>0.06</v>
      </c>
      <c r="J239" s="1">
        <v>0.13200000000000001</v>
      </c>
      <c r="K239" s="1">
        <v>25</v>
      </c>
      <c r="L239" s="1" t="s">
        <v>14</v>
      </c>
    </row>
    <row r="240" spans="1:12" x14ac:dyDescent="0.25">
      <c r="A240" s="1" t="s">
        <v>1318</v>
      </c>
      <c r="B240" s="1" t="str">
        <f>("035991")</f>
        <v>035991</v>
      </c>
      <c r="C240" s="1" t="str">
        <f>("622454359918")</f>
        <v>622454359918</v>
      </c>
      <c r="D240" s="1">
        <v>406168</v>
      </c>
      <c r="E240" t="s">
        <v>312</v>
      </c>
      <c r="F240" s="3">
        <v>8.6595744680851077</v>
      </c>
      <c r="G240" s="1" t="s">
        <v>13</v>
      </c>
      <c r="H240" s="2">
        <v>44621</v>
      </c>
      <c r="I240" s="1">
        <v>1</v>
      </c>
      <c r="J240" s="1">
        <v>2.2050000000000001</v>
      </c>
      <c r="K240" s="1">
        <v>25</v>
      </c>
      <c r="L240" s="1" t="s">
        <v>14</v>
      </c>
    </row>
    <row r="241" spans="1:12" x14ac:dyDescent="0.25">
      <c r="A241" s="1" t="s">
        <v>1318</v>
      </c>
      <c r="B241" s="1" t="str">
        <f>("235031")</f>
        <v>235031</v>
      </c>
      <c r="C241" s="1" t="str">
        <f>("622454010444")</f>
        <v>622454010444</v>
      </c>
      <c r="D241" s="1">
        <v>406209</v>
      </c>
      <c r="E241" t="s">
        <v>313</v>
      </c>
      <c r="F241" s="3">
        <v>13.702127659574471</v>
      </c>
      <c r="G241" s="1" t="s">
        <v>13</v>
      </c>
      <c r="H241" s="2">
        <v>44621</v>
      </c>
      <c r="I241" s="1">
        <v>0.09</v>
      </c>
      <c r="J241" s="1">
        <v>0.19800000000000001</v>
      </c>
      <c r="K241" s="1">
        <v>25</v>
      </c>
      <c r="L241" s="1" t="s">
        <v>14</v>
      </c>
    </row>
    <row r="242" spans="1:12" x14ac:dyDescent="0.25">
      <c r="A242" s="1" t="s">
        <v>1318</v>
      </c>
      <c r="B242" s="1" t="str">
        <f>("235032")</f>
        <v>235032</v>
      </c>
      <c r="C242" s="1" t="str">
        <f>("622454010451")</f>
        <v>622454010451</v>
      </c>
      <c r="D242" s="1">
        <v>406211</v>
      </c>
      <c r="E242" t="s">
        <v>314</v>
      </c>
      <c r="F242" s="3">
        <v>13.702127659574471</v>
      </c>
      <c r="G242" s="1" t="s">
        <v>13</v>
      </c>
      <c r="H242" s="2">
        <v>44621</v>
      </c>
      <c r="I242" s="1">
        <v>0.13</v>
      </c>
      <c r="J242" s="1">
        <v>0.28699999999999998</v>
      </c>
      <c r="K242" s="1">
        <v>25</v>
      </c>
      <c r="L242" s="1" t="s">
        <v>14</v>
      </c>
    </row>
    <row r="243" spans="1:12" x14ac:dyDescent="0.25">
      <c r="A243" s="1" t="s">
        <v>1318</v>
      </c>
      <c r="B243" s="1" t="str">
        <f>("035537")</f>
        <v>035537</v>
      </c>
      <c r="C243" s="1" t="str">
        <f>("622454355378")</f>
        <v>622454355378</v>
      </c>
      <c r="D243" s="1">
        <v>406251</v>
      </c>
      <c r="E243" t="s">
        <v>315</v>
      </c>
      <c r="F243" s="3">
        <v>23.393617021276594</v>
      </c>
      <c r="G243" s="1" t="s">
        <v>13</v>
      </c>
      <c r="H243" s="2">
        <v>44621</v>
      </c>
      <c r="I243" s="1">
        <v>0.19500000000000001</v>
      </c>
      <c r="J243" s="1">
        <v>0.43</v>
      </c>
      <c r="K243" s="1">
        <v>10</v>
      </c>
      <c r="L243" s="1" t="s">
        <v>14</v>
      </c>
    </row>
    <row r="244" spans="1:12" x14ac:dyDescent="0.25">
      <c r="A244" s="1" t="s">
        <v>1318</v>
      </c>
      <c r="B244" s="1" t="str">
        <f>("035514")</f>
        <v>035514</v>
      </c>
      <c r="C244" s="1" t="str">
        <f>("622454355149")</f>
        <v>622454355149</v>
      </c>
      <c r="D244" s="1">
        <v>407074</v>
      </c>
      <c r="E244" t="s">
        <v>316</v>
      </c>
      <c r="F244" s="3">
        <v>4.0744680851063837</v>
      </c>
      <c r="G244" s="1" t="s">
        <v>13</v>
      </c>
      <c r="H244" s="2">
        <v>44621</v>
      </c>
      <c r="I244" s="1">
        <v>3.2000000000000001E-2</v>
      </c>
      <c r="J244" s="1">
        <v>7.0999999999999994E-2</v>
      </c>
      <c r="K244" s="1">
        <v>50</v>
      </c>
      <c r="L244" s="1" t="s">
        <v>14</v>
      </c>
    </row>
    <row r="245" spans="1:12" x14ac:dyDescent="0.25">
      <c r="A245" s="1" t="s">
        <v>1318</v>
      </c>
      <c r="B245" s="1" t="str">
        <f>("035515")</f>
        <v>035515</v>
      </c>
      <c r="C245" s="1" t="str">
        <f>("622454355156")</f>
        <v>622454355156</v>
      </c>
      <c r="D245" s="1">
        <v>407101</v>
      </c>
      <c r="E245" t="s">
        <v>317</v>
      </c>
      <c r="F245" s="3">
        <v>2.2340425531914896</v>
      </c>
      <c r="G245" s="1" t="s">
        <v>13</v>
      </c>
      <c r="H245" s="2">
        <v>44621</v>
      </c>
      <c r="I245" s="1">
        <v>7.1999999999999995E-2</v>
      </c>
      <c r="J245" s="1">
        <v>0.159</v>
      </c>
      <c r="K245" s="1">
        <v>50</v>
      </c>
      <c r="L245" s="1" t="s">
        <v>14</v>
      </c>
    </row>
    <row r="246" spans="1:12" x14ac:dyDescent="0.25">
      <c r="A246" s="1" t="s">
        <v>1318</v>
      </c>
      <c r="B246" s="1" t="str">
        <f>("035516")</f>
        <v>035516</v>
      </c>
      <c r="C246" s="1" t="str">
        <f>("622454355163")</f>
        <v>622454355163</v>
      </c>
      <c r="D246" s="1">
        <v>407130</v>
      </c>
      <c r="E246" t="s">
        <v>318</v>
      </c>
      <c r="F246" s="3">
        <v>6.2340425531914905</v>
      </c>
      <c r="G246" s="1" t="s">
        <v>13</v>
      </c>
      <c r="H246" s="2">
        <v>44621</v>
      </c>
      <c r="I246" s="1">
        <v>5.1999999999999998E-2</v>
      </c>
      <c r="J246" s="1">
        <v>0.115</v>
      </c>
      <c r="K246" s="1">
        <v>50</v>
      </c>
      <c r="L246" s="1" t="s">
        <v>14</v>
      </c>
    </row>
    <row r="247" spans="1:12" x14ac:dyDescent="0.25">
      <c r="A247" s="1" t="s">
        <v>1318</v>
      </c>
      <c r="B247" s="1" t="str">
        <f>("035517")</f>
        <v>035517</v>
      </c>
      <c r="C247" s="1" t="str">
        <f>("622454355170")</f>
        <v>622454355170</v>
      </c>
      <c r="D247" s="1">
        <v>407131</v>
      </c>
      <c r="E247" t="s">
        <v>319</v>
      </c>
      <c r="F247" s="3">
        <v>6.2340425531914905</v>
      </c>
      <c r="G247" s="1" t="s">
        <v>13</v>
      </c>
      <c r="H247" s="2">
        <v>44621</v>
      </c>
      <c r="I247" s="1">
        <v>0.06</v>
      </c>
      <c r="J247" s="1">
        <v>0.13200000000000001</v>
      </c>
      <c r="K247" s="1">
        <v>50</v>
      </c>
      <c r="L247" s="1" t="s">
        <v>14</v>
      </c>
    </row>
    <row r="248" spans="1:12" x14ac:dyDescent="0.25">
      <c r="A248" s="1" t="s">
        <v>1318</v>
      </c>
      <c r="B248" s="1" t="str">
        <f>("051007")</f>
        <v>051007</v>
      </c>
      <c r="C248" s="1" t="str">
        <f>("622454510074")</f>
        <v>622454510074</v>
      </c>
      <c r="D248" s="1">
        <v>407168</v>
      </c>
      <c r="E248" t="s">
        <v>320</v>
      </c>
      <c r="F248" s="3">
        <v>9.1063829787234045</v>
      </c>
      <c r="G248" s="1" t="s">
        <v>13</v>
      </c>
      <c r="H248" s="2">
        <v>44621</v>
      </c>
      <c r="I248" s="1">
        <v>2.4580000000000002</v>
      </c>
      <c r="J248" s="1">
        <v>5.4189999999999996</v>
      </c>
      <c r="K248" s="1">
        <v>25</v>
      </c>
      <c r="L248" s="1" t="s">
        <v>14</v>
      </c>
    </row>
    <row r="249" spans="1:12" x14ac:dyDescent="0.25">
      <c r="A249" s="1" t="s">
        <v>1318</v>
      </c>
      <c r="B249" s="1" t="str">
        <f>("035594")</f>
        <v>035594</v>
      </c>
      <c r="C249" s="1" t="str">
        <f>("622454355941")</f>
        <v>622454355941</v>
      </c>
      <c r="D249" s="1">
        <v>407211</v>
      </c>
      <c r="E249" t="s">
        <v>321</v>
      </c>
      <c r="F249" s="3">
        <v>15.085106382978724</v>
      </c>
      <c r="G249" s="1" t="s">
        <v>13</v>
      </c>
      <c r="H249" s="2">
        <v>44621</v>
      </c>
      <c r="I249" s="1">
        <v>0.13600000000000001</v>
      </c>
      <c r="J249" s="1">
        <v>0.3</v>
      </c>
      <c r="K249" s="1">
        <v>25</v>
      </c>
      <c r="L249" s="1" t="s">
        <v>14</v>
      </c>
    </row>
    <row r="250" spans="1:12" x14ac:dyDescent="0.25">
      <c r="A250" s="1" t="s">
        <v>1318</v>
      </c>
      <c r="B250" s="1" t="str">
        <f>("035518")</f>
        <v>035518</v>
      </c>
      <c r="C250" s="1" t="str">
        <f>("622454355187")</f>
        <v>622454355187</v>
      </c>
      <c r="D250" s="1">
        <v>407251</v>
      </c>
      <c r="E250" t="s">
        <v>322</v>
      </c>
      <c r="F250" s="3">
        <v>26.138297872340427</v>
      </c>
      <c r="G250" s="1" t="s">
        <v>13</v>
      </c>
      <c r="H250" s="2">
        <v>44621</v>
      </c>
      <c r="I250" s="1">
        <v>0.20899999999999999</v>
      </c>
      <c r="J250" s="1">
        <v>0.46100000000000002</v>
      </c>
      <c r="K250" s="1">
        <v>10</v>
      </c>
      <c r="L250" s="1" t="s">
        <v>14</v>
      </c>
    </row>
    <row r="251" spans="1:12" x14ac:dyDescent="0.25">
      <c r="A251" s="1" t="s">
        <v>1318</v>
      </c>
      <c r="B251" s="1" t="str">
        <f>("035500")</f>
        <v>035500</v>
      </c>
      <c r="C251" s="1" t="str">
        <f>("622454355002")</f>
        <v>622454355002</v>
      </c>
      <c r="D251" s="1">
        <v>410005</v>
      </c>
      <c r="E251" t="s">
        <v>323</v>
      </c>
      <c r="F251" s="3">
        <v>3.3297872340425534</v>
      </c>
      <c r="G251" s="1" t="s">
        <v>13</v>
      </c>
      <c r="H251" s="2">
        <v>44621</v>
      </c>
      <c r="I251" s="1">
        <v>2.7E-2</v>
      </c>
      <c r="J251" s="1">
        <v>0.06</v>
      </c>
      <c r="L251" s="1" t="s">
        <v>14</v>
      </c>
    </row>
    <row r="252" spans="1:12" x14ac:dyDescent="0.25">
      <c r="A252" s="1" t="s">
        <v>1318</v>
      </c>
      <c r="B252" s="1" t="str">
        <f>("035501")</f>
        <v>035501</v>
      </c>
      <c r="C252" s="1" t="str">
        <f>("622454355019")</f>
        <v>622454355019</v>
      </c>
      <c r="D252" s="1">
        <v>410007</v>
      </c>
      <c r="E252" t="s">
        <v>324</v>
      </c>
      <c r="F252" s="3">
        <v>3.9042553191489362</v>
      </c>
      <c r="G252" s="1" t="s">
        <v>13</v>
      </c>
      <c r="H252" s="2">
        <v>44621</v>
      </c>
      <c r="I252" s="1">
        <v>4.1000000000000002E-2</v>
      </c>
      <c r="J252" s="1">
        <v>0.09</v>
      </c>
      <c r="K252" s="1">
        <v>50</v>
      </c>
      <c r="L252" s="1" t="s">
        <v>14</v>
      </c>
    </row>
    <row r="253" spans="1:12" x14ac:dyDescent="0.25">
      <c r="A253" s="1" t="s">
        <v>1318</v>
      </c>
      <c r="B253" s="1" t="str">
        <f>("035502")</f>
        <v>035502</v>
      </c>
      <c r="C253" s="1" t="str">
        <f>("622454355026")</f>
        <v>622454355026</v>
      </c>
      <c r="D253" s="1">
        <v>410010</v>
      </c>
      <c r="E253" t="s">
        <v>325</v>
      </c>
      <c r="F253" s="3">
        <v>6.5319148936170217</v>
      </c>
      <c r="G253" s="1" t="s">
        <v>13</v>
      </c>
      <c r="H253" s="2">
        <v>44621</v>
      </c>
      <c r="I253" s="1">
        <v>5.3999999999999999E-2</v>
      </c>
      <c r="J253" s="1">
        <v>0.11899999999999999</v>
      </c>
      <c r="K253" s="1">
        <v>50</v>
      </c>
      <c r="L253" s="1" t="s">
        <v>14</v>
      </c>
    </row>
    <row r="254" spans="1:12" x14ac:dyDescent="0.25">
      <c r="A254" s="1" t="s">
        <v>1318</v>
      </c>
      <c r="B254" s="1" t="str">
        <f>("035503")</f>
        <v>035503</v>
      </c>
      <c r="C254" s="1" t="str">
        <f>("622454355033")</f>
        <v>622454355033</v>
      </c>
      <c r="D254" s="1">
        <v>410012</v>
      </c>
      <c r="E254" t="s">
        <v>326</v>
      </c>
      <c r="F254" s="3">
        <v>9.1063829787234045</v>
      </c>
      <c r="G254" s="1" t="s">
        <v>13</v>
      </c>
      <c r="H254" s="2">
        <v>44621</v>
      </c>
      <c r="I254" s="1">
        <v>0.13</v>
      </c>
      <c r="J254" s="1">
        <v>0.28699999999999998</v>
      </c>
      <c r="K254" s="1">
        <v>25</v>
      </c>
      <c r="L254" s="1" t="s">
        <v>14</v>
      </c>
    </row>
    <row r="255" spans="1:12" x14ac:dyDescent="0.25">
      <c r="A255" s="1" t="s">
        <v>1318</v>
      </c>
      <c r="B255" s="1" t="str">
        <f>("035504")</f>
        <v>035504</v>
      </c>
      <c r="C255" s="1" t="str">
        <f>("622454355040")</f>
        <v>622454355040</v>
      </c>
      <c r="D255" s="1">
        <v>410015</v>
      </c>
      <c r="E255" t="s">
        <v>327</v>
      </c>
      <c r="F255" s="3">
        <v>9.5212765957446805</v>
      </c>
      <c r="G255" s="1" t="s">
        <v>13</v>
      </c>
      <c r="H255" s="2">
        <v>44621</v>
      </c>
      <c r="I255" s="1">
        <v>0.14799999999999999</v>
      </c>
      <c r="J255" s="1">
        <v>0.32600000000000001</v>
      </c>
      <c r="K255" s="1">
        <v>25</v>
      </c>
      <c r="L255" s="1" t="s">
        <v>14</v>
      </c>
    </row>
    <row r="256" spans="1:12" x14ac:dyDescent="0.25">
      <c r="A256" s="1" t="s">
        <v>1318</v>
      </c>
      <c r="B256" s="1" t="str">
        <f>("035505")</f>
        <v>035505</v>
      </c>
      <c r="C256" s="1" t="str">
        <f>("622454355057")</f>
        <v>622454355057</v>
      </c>
      <c r="D256" s="1">
        <v>410020</v>
      </c>
      <c r="E256" t="s">
        <v>328</v>
      </c>
      <c r="F256" s="3">
        <v>23.414893617021281</v>
      </c>
      <c r="G256" s="1" t="s">
        <v>13</v>
      </c>
      <c r="H256" s="2">
        <v>44621</v>
      </c>
      <c r="I256" s="1">
        <v>0.23599999999999999</v>
      </c>
      <c r="J256" s="1">
        <v>0.52</v>
      </c>
      <c r="K256" s="1">
        <v>10</v>
      </c>
      <c r="L256" s="1" t="s">
        <v>14</v>
      </c>
    </row>
    <row r="257" spans="1:12" x14ac:dyDescent="0.25">
      <c r="A257" s="1" t="s">
        <v>1318</v>
      </c>
      <c r="B257" s="1" t="str">
        <f>("035544")</f>
        <v>035544</v>
      </c>
      <c r="C257" s="1" t="str">
        <f>("622454355446")</f>
        <v>622454355446</v>
      </c>
      <c r="D257" s="1">
        <v>409005</v>
      </c>
      <c r="E257" t="s">
        <v>329</v>
      </c>
      <c r="F257" s="3">
        <v>4.2765957446808507</v>
      </c>
      <c r="G257" s="1" t="s">
        <v>13</v>
      </c>
      <c r="H257" s="2">
        <v>44621</v>
      </c>
      <c r="I257" s="1">
        <v>2.5000000000000001E-2</v>
      </c>
      <c r="J257" s="1">
        <v>5.5E-2</v>
      </c>
      <c r="K257" s="1">
        <v>175</v>
      </c>
      <c r="L257" s="1" t="s">
        <v>14</v>
      </c>
    </row>
    <row r="258" spans="1:12" x14ac:dyDescent="0.25">
      <c r="A258" s="1" t="s">
        <v>1318</v>
      </c>
      <c r="B258" s="1" t="str">
        <f>("035545")</f>
        <v>035545</v>
      </c>
      <c r="C258" s="1" t="str">
        <f>("622454355453")</f>
        <v>622454355453</v>
      </c>
      <c r="D258" s="1">
        <v>409007</v>
      </c>
      <c r="E258" t="s">
        <v>330</v>
      </c>
      <c r="F258" s="3">
        <v>5.2659574468085113</v>
      </c>
      <c r="G258" s="1" t="s">
        <v>13</v>
      </c>
      <c r="H258" s="2">
        <v>44621</v>
      </c>
      <c r="I258" s="1">
        <v>4.1000000000000002E-2</v>
      </c>
      <c r="J258" s="1">
        <v>0.09</v>
      </c>
      <c r="K258" s="1">
        <v>50</v>
      </c>
      <c r="L258" s="1" t="s">
        <v>14</v>
      </c>
    </row>
    <row r="259" spans="1:12" x14ac:dyDescent="0.25">
      <c r="A259" s="1" t="s">
        <v>1318</v>
      </c>
      <c r="B259" s="1" t="str">
        <f>("035546")</f>
        <v>035546</v>
      </c>
      <c r="C259" s="1" t="str">
        <f>("622454355460")</f>
        <v>622454355460</v>
      </c>
      <c r="D259" s="1">
        <v>409010</v>
      </c>
      <c r="E259" t="s">
        <v>331</v>
      </c>
      <c r="F259" s="3">
        <v>9.1063829787234045</v>
      </c>
      <c r="G259" s="1" t="s">
        <v>13</v>
      </c>
      <c r="H259" s="2">
        <v>44621</v>
      </c>
      <c r="I259" s="1">
        <v>6.0999999999999999E-2</v>
      </c>
      <c r="J259" s="1">
        <v>0.13400000000000001</v>
      </c>
      <c r="K259" s="1">
        <v>50</v>
      </c>
      <c r="L259" s="1" t="s">
        <v>14</v>
      </c>
    </row>
    <row r="260" spans="1:12" x14ac:dyDescent="0.25">
      <c r="A260" s="1" t="s">
        <v>1318</v>
      </c>
      <c r="B260" s="1" t="str">
        <f>("035547")</f>
        <v>035547</v>
      </c>
      <c r="C260" s="1" t="str">
        <f>("622454355477")</f>
        <v>622454355477</v>
      </c>
      <c r="D260" s="1">
        <v>409012</v>
      </c>
      <c r="E260" t="s">
        <v>332</v>
      </c>
      <c r="F260" s="3">
        <v>10.914893617021278</v>
      </c>
      <c r="G260" s="1" t="s">
        <v>13</v>
      </c>
      <c r="H260" s="2">
        <v>44621</v>
      </c>
      <c r="I260" s="1">
        <v>0.08</v>
      </c>
      <c r="J260" s="1">
        <v>0.17599999999999999</v>
      </c>
      <c r="K260" s="1">
        <v>25</v>
      </c>
      <c r="L260" s="1" t="s">
        <v>14</v>
      </c>
    </row>
    <row r="261" spans="1:12" x14ac:dyDescent="0.25">
      <c r="A261" s="1" t="s">
        <v>1318</v>
      </c>
      <c r="B261" s="1" t="str">
        <f>("035548")</f>
        <v>035548</v>
      </c>
      <c r="C261" s="1" t="str">
        <f>("622454355484")</f>
        <v>622454355484</v>
      </c>
      <c r="D261" s="1">
        <v>409015</v>
      </c>
      <c r="E261" t="s">
        <v>333</v>
      </c>
      <c r="F261" s="3">
        <v>12.021276595744682</v>
      </c>
      <c r="G261" s="1" t="s">
        <v>13</v>
      </c>
      <c r="H261" s="2">
        <v>44621</v>
      </c>
      <c r="I261" s="1">
        <v>0.10299999999999999</v>
      </c>
      <c r="J261" s="1">
        <v>0.22700000000000001</v>
      </c>
      <c r="K261" s="1">
        <v>25</v>
      </c>
      <c r="L261" s="1" t="s">
        <v>14</v>
      </c>
    </row>
    <row r="262" spans="1:12" x14ac:dyDescent="0.25">
      <c r="A262" s="1" t="s">
        <v>1318</v>
      </c>
      <c r="B262" s="1" t="str">
        <f>("035549")</f>
        <v>035549</v>
      </c>
      <c r="C262" s="1" t="str">
        <f>("622454355491")</f>
        <v>622454355491</v>
      </c>
      <c r="D262" s="1">
        <v>409020</v>
      </c>
      <c r="E262" t="s">
        <v>334</v>
      </c>
      <c r="F262" s="3">
        <v>23.180851063829788</v>
      </c>
      <c r="G262" s="1" t="s">
        <v>13</v>
      </c>
      <c r="H262" s="2">
        <v>44621</v>
      </c>
      <c r="I262" s="1">
        <v>0.23400000000000001</v>
      </c>
      <c r="J262" s="1">
        <v>0.51600000000000001</v>
      </c>
      <c r="K262" s="1">
        <v>10</v>
      </c>
      <c r="L262" s="1" t="s">
        <v>14</v>
      </c>
    </row>
    <row r="263" spans="1:12" x14ac:dyDescent="0.25">
      <c r="A263" s="1" t="s">
        <v>1318</v>
      </c>
      <c r="B263" s="1" t="str">
        <f>("035552")</f>
        <v>035552</v>
      </c>
      <c r="C263" s="1" t="str">
        <f>("622454355521")</f>
        <v>622454355521</v>
      </c>
      <c r="D263" s="1">
        <v>412005</v>
      </c>
      <c r="E263" t="s">
        <v>335</v>
      </c>
      <c r="F263" s="3">
        <v>4.4361702127659575</v>
      </c>
      <c r="G263" s="1" t="s">
        <v>13</v>
      </c>
      <c r="H263" s="2">
        <v>44621</v>
      </c>
      <c r="I263" s="1">
        <v>2.7E-2</v>
      </c>
      <c r="J263" s="1">
        <v>0.06</v>
      </c>
      <c r="K263" s="1">
        <v>50</v>
      </c>
      <c r="L263" s="1" t="s">
        <v>14</v>
      </c>
    </row>
    <row r="264" spans="1:12" x14ac:dyDescent="0.25">
      <c r="A264" s="1" t="s">
        <v>1318</v>
      </c>
      <c r="B264" s="1" t="str">
        <f>("035553")</f>
        <v>035553</v>
      </c>
      <c r="C264" s="1" t="str">
        <f>("622454355538")</f>
        <v>622454355538</v>
      </c>
      <c r="D264" s="1">
        <v>412007</v>
      </c>
      <c r="E264" t="s">
        <v>336</v>
      </c>
      <c r="F264" s="3">
        <v>5.4361702127659584</v>
      </c>
      <c r="G264" s="1" t="s">
        <v>13</v>
      </c>
      <c r="H264" s="2">
        <v>44621</v>
      </c>
      <c r="I264" s="1">
        <v>4.1000000000000002E-2</v>
      </c>
      <c r="J264" s="1">
        <v>0.09</v>
      </c>
      <c r="K264" s="1">
        <v>50</v>
      </c>
      <c r="L264" s="1" t="s">
        <v>14</v>
      </c>
    </row>
    <row r="265" spans="1:12" x14ac:dyDescent="0.25">
      <c r="A265" s="1" t="s">
        <v>1318</v>
      </c>
      <c r="B265" s="1" t="str">
        <f>("035554")</f>
        <v>035554</v>
      </c>
      <c r="C265" s="1" t="str">
        <f>("622454355545")</f>
        <v>622454355545</v>
      </c>
      <c r="D265" s="1">
        <v>412010</v>
      </c>
      <c r="E265" t="s">
        <v>337</v>
      </c>
      <c r="F265" s="3">
        <v>9.3723404255319167</v>
      </c>
      <c r="G265" s="1" t="s">
        <v>13</v>
      </c>
      <c r="H265" s="2">
        <v>44621</v>
      </c>
      <c r="I265" s="1">
        <v>5.8999999999999997E-2</v>
      </c>
      <c r="J265" s="1">
        <v>0.13</v>
      </c>
      <c r="K265" s="1">
        <v>50</v>
      </c>
      <c r="L265" s="1" t="s">
        <v>14</v>
      </c>
    </row>
    <row r="266" spans="1:12" x14ac:dyDescent="0.25">
      <c r="A266" s="1" t="s">
        <v>1318</v>
      </c>
      <c r="B266" s="1" t="str">
        <f>("035555")</f>
        <v>035555</v>
      </c>
      <c r="C266" s="1" t="str">
        <f>("622454355552")</f>
        <v>622454355552</v>
      </c>
      <c r="D266" s="1">
        <v>412012</v>
      </c>
      <c r="E266" t="s">
        <v>338</v>
      </c>
      <c r="F266" s="3">
        <v>11.595744680851064</v>
      </c>
      <c r="G266" s="1" t="s">
        <v>13</v>
      </c>
      <c r="H266" s="2">
        <v>44621</v>
      </c>
      <c r="I266" s="1">
        <v>8.5999999999999993E-2</v>
      </c>
      <c r="J266" s="1">
        <v>0.19</v>
      </c>
      <c r="K266" s="1">
        <v>25</v>
      </c>
      <c r="L266" s="1" t="s">
        <v>14</v>
      </c>
    </row>
    <row r="267" spans="1:12" x14ac:dyDescent="0.25">
      <c r="A267" s="1" t="s">
        <v>1318</v>
      </c>
      <c r="B267" s="1" t="str">
        <f>("035556")</f>
        <v>035556</v>
      </c>
      <c r="C267" s="1" t="str">
        <f>("622454355569")</f>
        <v>622454355569</v>
      </c>
      <c r="D267" s="1">
        <v>412015</v>
      </c>
      <c r="E267" t="s">
        <v>339</v>
      </c>
      <c r="F267" s="3">
        <v>12.585106382978724</v>
      </c>
      <c r="G267" s="1" t="s">
        <v>13</v>
      </c>
      <c r="H267" s="2">
        <v>44621</v>
      </c>
      <c r="I267" s="1">
        <v>0.113</v>
      </c>
      <c r="J267" s="1">
        <v>0.249</v>
      </c>
      <c r="K267" s="1">
        <v>25</v>
      </c>
      <c r="L267" s="1" t="s">
        <v>14</v>
      </c>
    </row>
    <row r="268" spans="1:12" x14ac:dyDescent="0.25">
      <c r="A268" s="1" t="s">
        <v>1318</v>
      </c>
      <c r="B268" s="1" t="str">
        <f>("035557")</f>
        <v>035557</v>
      </c>
      <c r="C268" s="1" t="str">
        <f>("622454355576")</f>
        <v>622454355576</v>
      </c>
      <c r="D268" s="1">
        <v>412020</v>
      </c>
      <c r="E268" t="s">
        <v>340</v>
      </c>
      <c r="F268" s="3">
        <v>24.021276595744681</v>
      </c>
      <c r="G268" s="1" t="s">
        <v>13</v>
      </c>
      <c r="H268" s="2">
        <v>44621</v>
      </c>
      <c r="I268" s="1">
        <v>0.17699999999999999</v>
      </c>
      <c r="J268" s="1">
        <v>0.39</v>
      </c>
      <c r="K268" s="1">
        <v>10</v>
      </c>
      <c r="L268" s="1" t="s">
        <v>14</v>
      </c>
    </row>
    <row r="269" spans="1:12" x14ac:dyDescent="0.25">
      <c r="A269" s="1" t="s">
        <v>1318</v>
      </c>
      <c r="B269" s="1" t="str">
        <f>("035498")</f>
        <v>035498</v>
      </c>
      <c r="C269" s="1" t="str">
        <f>("622454354982")</f>
        <v>622454354982</v>
      </c>
      <c r="D269" s="1">
        <v>413005</v>
      </c>
      <c r="E269" t="s">
        <v>341</v>
      </c>
      <c r="F269" s="3">
        <v>8.212765957446809</v>
      </c>
      <c r="G269" s="1" t="s">
        <v>13</v>
      </c>
      <c r="H269" s="2">
        <v>44621</v>
      </c>
      <c r="I269" s="1">
        <v>2.7E-2</v>
      </c>
      <c r="J269" s="1">
        <v>0.06</v>
      </c>
      <c r="K269" s="1">
        <v>50</v>
      </c>
      <c r="L269" s="1" t="s">
        <v>14</v>
      </c>
    </row>
    <row r="270" spans="1:12" x14ac:dyDescent="0.25">
      <c r="A270" s="1" t="s">
        <v>1318</v>
      </c>
      <c r="B270" s="1" t="str">
        <f>("235033")</f>
        <v>235033</v>
      </c>
      <c r="C270" s="1" t="str">
        <f>("622454010468")</f>
        <v>622454010468</v>
      </c>
      <c r="D270" s="1">
        <v>414005</v>
      </c>
      <c r="E270" t="s">
        <v>342</v>
      </c>
      <c r="F270" s="3">
        <v>8.0319148936170208</v>
      </c>
      <c r="G270" s="1" t="s">
        <v>13</v>
      </c>
      <c r="H270" s="2">
        <v>44621</v>
      </c>
      <c r="I270" s="1">
        <v>0.03</v>
      </c>
      <c r="J270" s="1">
        <v>6.6000000000000003E-2</v>
      </c>
      <c r="K270" s="1">
        <v>50</v>
      </c>
      <c r="L270" s="1" t="s">
        <v>14</v>
      </c>
    </row>
    <row r="271" spans="1:12" x14ac:dyDescent="0.25">
      <c r="A271" s="1" t="s">
        <v>1318</v>
      </c>
      <c r="B271" s="1" t="str">
        <f>("235034")</f>
        <v>235034</v>
      </c>
      <c r="C271" s="1" t="str">
        <f>("622454010475")</f>
        <v>622454010475</v>
      </c>
      <c r="D271" s="1">
        <v>414007</v>
      </c>
      <c r="E271" t="s">
        <v>343</v>
      </c>
      <c r="F271" s="3">
        <v>12.340425531914894</v>
      </c>
      <c r="G271" s="1" t="s">
        <v>13</v>
      </c>
      <c r="H271" s="2">
        <v>44621</v>
      </c>
      <c r="I271" s="1">
        <v>0.05</v>
      </c>
      <c r="J271" s="1">
        <v>0.11</v>
      </c>
      <c r="K271" s="1">
        <v>50</v>
      </c>
      <c r="L271" s="1" t="s">
        <v>14</v>
      </c>
    </row>
    <row r="272" spans="1:12" x14ac:dyDescent="0.25">
      <c r="A272" s="1" t="s">
        <v>1318</v>
      </c>
      <c r="B272" s="1" t="str">
        <f>("235035")</f>
        <v>235035</v>
      </c>
      <c r="C272" s="1" t="str">
        <f>("622454010482")</f>
        <v>622454010482</v>
      </c>
      <c r="D272" s="1">
        <v>414101</v>
      </c>
      <c r="E272" t="s">
        <v>344</v>
      </c>
      <c r="F272" s="3">
        <v>10.382978723404255</v>
      </c>
      <c r="G272" s="1" t="s">
        <v>13</v>
      </c>
      <c r="H272" s="2">
        <v>44621</v>
      </c>
      <c r="I272" s="1">
        <v>0.04</v>
      </c>
      <c r="J272" s="1">
        <v>8.7999999999999995E-2</v>
      </c>
      <c r="K272" s="1">
        <v>50</v>
      </c>
      <c r="L272" s="1" t="s">
        <v>14</v>
      </c>
    </row>
    <row r="273" spans="1:12" x14ac:dyDescent="0.25">
      <c r="A273" s="1" t="s">
        <v>1318</v>
      </c>
      <c r="B273" s="1" t="str">
        <f>("235036")</f>
        <v>235036</v>
      </c>
      <c r="C273" s="1" t="str">
        <f>("622454010499")</f>
        <v>622454010499</v>
      </c>
      <c r="D273" s="1">
        <v>414130</v>
      </c>
      <c r="E273" t="s">
        <v>345</v>
      </c>
      <c r="F273" s="3">
        <v>13.659574468085108</v>
      </c>
      <c r="G273" s="1" t="s">
        <v>13</v>
      </c>
      <c r="H273" s="2">
        <v>44621</v>
      </c>
      <c r="I273" s="1">
        <v>0.06</v>
      </c>
      <c r="J273" s="1">
        <v>0.13200000000000001</v>
      </c>
      <c r="K273" s="1">
        <v>50</v>
      </c>
      <c r="L273" s="1" t="s">
        <v>14</v>
      </c>
    </row>
    <row r="274" spans="1:12" x14ac:dyDescent="0.25">
      <c r="A274" s="1" t="s">
        <v>1318</v>
      </c>
      <c r="B274" s="1" t="str">
        <f>("125482")</f>
        <v>125482</v>
      </c>
      <c r="C274" s="1" t="str">
        <f>("622454463165")</f>
        <v>622454463165</v>
      </c>
      <c r="D274" s="1" t="s">
        <v>346</v>
      </c>
      <c r="E274" t="s">
        <v>347</v>
      </c>
      <c r="F274" s="3">
        <v>428.56</v>
      </c>
      <c r="G274" s="1" t="s">
        <v>13</v>
      </c>
      <c r="H274" s="2">
        <v>44621</v>
      </c>
      <c r="I274" s="1">
        <v>3.5910000000000002</v>
      </c>
      <c r="J274" s="1">
        <v>7.9169999999999998</v>
      </c>
      <c r="K274" s="1">
        <v>4</v>
      </c>
      <c r="L274" s="1" t="s">
        <v>31</v>
      </c>
    </row>
    <row r="275" spans="1:12" x14ac:dyDescent="0.25">
      <c r="A275" s="1" t="s">
        <v>1318</v>
      </c>
      <c r="B275" s="1" t="str">
        <f>("125484")</f>
        <v>125484</v>
      </c>
      <c r="C275" s="1" t="str">
        <f>("622454463189")</f>
        <v>622454463189</v>
      </c>
      <c r="D275" s="1" t="s">
        <v>348</v>
      </c>
      <c r="E275" t="s">
        <v>349</v>
      </c>
      <c r="F275" s="3">
        <v>569.88</v>
      </c>
      <c r="G275" s="1" t="s">
        <v>13</v>
      </c>
      <c r="H275" s="2">
        <v>44621</v>
      </c>
      <c r="I275" s="1">
        <v>5.4619999999999997</v>
      </c>
      <c r="J275" s="1">
        <v>12.042</v>
      </c>
      <c r="L275" s="1" t="s">
        <v>31</v>
      </c>
    </row>
    <row r="276" spans="1:12" x14ac:dyDescent="0.25">
      <c r="A276" s="1" t="s">
        <v>1318</v>
      </c>
      <c r="B276" s="1" t="str">
        <f>("125486")</f>
        <v>125486</v>
      </c>
      <c r="C276" s="1" t="str">
        <f>("622454463202")</f>
        <v>622454463202</v>
      </c>
      <c r="D276" s="1" t="s">
        <v>350</v>
      </c>
      <c r="E276" t="s">
        <v>351</v>
      </c>
      <c r="F276" s="3">
        <v>1170.44</v>
      </c>
      <c r="G276" s="1" t="s">
        <v>13</v>
      </c>
      <c r="H276" s="2">
        <v>44621</v>
      </c>
      <c r="I276" s="1">
        <v>9.2780000000000005</v>
      </c>
      <c r="J276" s="1">
        <v>20.454000000000001</v>
      </c>
      <c r="L276" s="1" t="s">
        <v>31</v>
      </c>
    </row>
    <row r="277" spans="1:12" x14ac:dyDescent="0.25">
      <c r="A277" s="1" t="s">
        <v>1318</v>
      </c>
      <c r="B277" s="1" t="str">
        <f>("125488")</f>
        <v>125488</v>
      </c>
      <c r="C277" s="1" t="str">
        <f>("622454463226")</f>
        <v>622454463226</v>
      </c>
      <c r="D277" s="1" t="s">
        <v>352</v>
      </c>
      <c r="E277" t="s">
        <v>353</v>
      </c>
      <c r="F277" s="3">
        <v>1489.94</v>
      </c>
      <c r="G277" s="1" t="s">
        <v>13</v>
      </c>
      <c r="H277" s="2">
        <v>44621</v>
      </c>
      <c r="I277" s="1">
        <v>17.599</v>
      </c>
      <c r="J277" s="1">
        <v>38.798999999999999</v>
      </c>
      <c r="L277" s="1" t="s">
        <v>31</v>
      </c>
    </row>
    <row r="278" spans="1:12" x14ac:dyDescent="0.25">
      <c r="A278" s="1" t="s">
        <v>1318</v>
      </c>
      <c r="B278" s="1" t="str">
        <f>("125490")</f>
        <v>125490</v>
      </c>
      <c r="C278" s="1" t="str">
        <f>("622454463240")</f>
        <v>622454463240</v>
      </c>
      <c r="D278" s="1" t="s">
        <v>354</v>
      </c>
      <c r="E278" t="s">
        <v>355</v>
      </c>
      <c r="F278" s="3">
        <v>1574.6</v>
      </c>
      <c r="G278" s="1" t="s">
        <v>13</v>
      </c>
      <c r="H278" s="2">
        <v>44621</v>
      </c>
      <c r="I278" s="1">
        <v>23.399000000000001</v>
      </c>
      <c r="J278" s="1">
        <v>51.585999999999999</v>
      </c>
      <c r="L278" s="1" t="s">
        <v>31</v>
      </c>
    </row>
    <row r="279" spans="1:12" x14ac:dyDescent="0.25">
      <c r="A279" s="1" t="s">
        <v>1318</v>
      </c>
      <c r="B279" s="1" t="str">
        <f>("125492")</f>
        <v>125492</v>
      </c>
      <c r="C279" s="1" t="str">
        <f>("622454463264")</f>
        <v>622454463264</v>
      </c>
      <c r="D279" s="1" t="s">
        <v>356</v>
      </c>
      <c r="E279" t="s">
        <v>357</v>
      </c>
      <c r="F279" s="3">
        <v>1894.88</v>
      </c>
      <c r="G279" s="1" t="s">
        <v>13</v>
      </c>
      <c r="H279" s="2">
        <v>44621</v>
      </c>
      <c r="I279" s="1">
        <v>35.530999999999999</v>
      </c>
      <c r="J279" s="1">
        <v>78.331999999999994</v>
      </c>
      <c r="L279" s="1" t="s">
        <v>31</v>
      </c>
    </row>
    <row r="280" spans="1:12" x14ac:dyDescent="0.25">
      <c r="A280" s="1" t="s">
        <v>1318</v>
      </c>
      <c r="B280" s="1" t="str">
        <f>("125494")</f>
        <v>125494</v>
      </c>
      <c r="C280" s="1" t="str">
        <f>("622454463288")</f>
        <v>622454463288</v>
      </c>
      <c r="D280" s="1" t="s">
        <v>358</v>
      </c>
      <c r="E280" t="s">
        <v>359</v>
      </c>
      <c r="F280" s="3">
        <v>2809.73</v>
      </c>
      <c r="G280" s="1" t="s">
        <v>13</v>
      </c>
      <c r="H280" s="2">
        <v>44621</v>
      </c>
      <c r="I280" s="1">
        <v>60.515000000000001</v>
      </c>
      <c r="J280" s="1">
        <v>133.41300000000001</v>
      </c>
      <c r="L280" s="1" t="s">
        <v>31</v>
      </c>
    </row>
    <row r="281" spans="1:12" x14ac:dyDescent="0.25">
      <c r="A281" s="1" t="s">
        <v>1318</v>
      </c>
      <c r="B281" s="1" t="str">
        <f>("125495")</f>
        <v>125495</v>
      </c>
      <c r="C281" s="1" t="str">
        <f>("622454463295")</f>
        <v>622454463295</v>
      </c>
      <c r="D281" s="1" t="s">
        <v>360</v>
      </c>
      <c r="E281" t="s">
        <v>361</v>
      </c>
      <c r="F281" s="3">
        <v>3802.09</v>
      </c>
      <c r="G281" s="1" t="s">
        <v>13</v>
      </c>
      <c r="H281" s="2">
        <v>44621</v>
      </c>
      <c r="I281" s="1">
        <v>78.501000000000005</v>
      </c>
      <c r="J281" s="1">
        <v>173.065</v>
      </c>
      <c r="L281" s="1" t="s">
        <v>31</v>
      </c>
    </row>
    <row r="282" spans="1:12" x14ac:dyDescent="0.25">
      <c r="A282" s="1" t="s">
        <v>1318</v>
      </c>
      <c r="B282" s="1" t="str">
        <f>("125496")</f>
        <v>125496</v>
      </c>
      <c r="C282" s="1" t="str">
        <f>("622454463301")</f>
        <v>622454463301</v>
      </c>
      <c r="D282" s="1" t="s">
        <v>362</v>
      </c>
      <c r="E282" t="s">
        <v>363</v>
      </c>
      <c r="F282" s="3">
        <v>4735.91</v>
      </c>
      <c r="G282" s="1" t="s">
        <v>13</v>
      </c>
      <c r="H282" s="2">
        <v>44621</v>
      </c>
      <c r="I282" s="1">
        <v>107.66200000000001</v>
      </c>
      <c r="J282" s="1">
        <v>237.35400000000001</v>
      </c>
      <c r="L282" s="1" t="s">
        <v>31</v>
      </c>
    </row>
    <row r="283" spans="1:12" x14ac:dyDescent="0.25">
      <c r="A283" s="1" t="s">
        <v>1318</v>
      </c>
      <c r="B283" s="1" t="str">
        <f>("035481")</f>
        <v>035481</v>
      </c>
      <c r="C283" s="1" t="str">
        <f>("622454354814")</f>
        <v>622454354814</v>
      </c>
      <c r="D283" s="1">
        <v>417005</v>
      </c>
      <c r="E283" t="s">
        <v>364</v>
      </c>
      <c r="F283" s="3">
        <v>2.5106382978723403</v>
      </c>
      <c r="G283" s="1" t="s">
        <v>13</v>
      </c>
      <c r="H283" s="2">
        <v>44621</v>
      </c>
      <c r="I283" s="1">
        <v>0.02</v>
      </c>
      <c r="J283" s="1">
        <v>4.3999999999999997E-2</v>
      </c>
      <c r="K283" s="1">
        <v>50</v>
      </c>
      <c r="L283" s="1" t="s">
        <v>14</v>
      </c>
    </row>
    <row r="284" spans="1:12" x14ac:dyDescent="0.25">
      <c r="A284" s="1" t="s">
        <v>1318</v>
      </c>
      <c r="B284" s="1" t="str">
        <f>("035482")</f>
        <v>035482</v>
      </c>
      <c r="C284" s="1" t="str">
        <f>("622454354821")</f>
        <v>622454354821</v>
      </c>
      <c r="D284" s="1">
        <v>417007</v>
      </c>
      <c r="E284" t="s">
        <v>365</v>
      </c>
      <c r="F284" s="3">
        <v>3.9042553191489362</v>
      </c>
      <c r="G284" s="1" t="s">
        <v>13</v>
      </c>
      <c r="H284" s="2">
        <v>44621</v>
      </c>
      <c r="I284" s="1">
        <v>2.4E-2</v>
      </c>
      <c r="J284" s="1">
        <v>5.2999999999999999E-2</v>
      </c>
      <c r="K284" s="1">
        <v>50</v>
      </c>
      <c r="L284" s="1" t="s">
        <v>14</v>
      </c>
    </row>
    <row r="285" spans="1:12" x14ac:dyDescent="0.25">
      <c r="A285" s="1" t="s">
        <v>1318</v>
      </c>
      <c r="B285" s="1" t="str">
        <f>("035483")</f>
        <v>035483</v>
      </c>
      <c r="C285" s="1" t="str">
        <f>("622454354838")</f>
        <v>622454354838</v>
      </c>
      <c r="D285" s="1">
        <v>417010</v>
      </c>
      <c r="E285" t="s">
        <v>366</v>
      </c>
      <c r="F285" s="3">
        <v>4.6914893617021285</v>
      </c>
      <c r="G285" s="1" t="s">
        <v>13</v>
      </c>
      <c r="H285" s="2">
        <v>44621</v>
      </c>
      <c r="I285" s="1">
        <v>3.6999999999999998E-2</v>
      </c>
      <c r="J285" s="1">
        <v>8.2000000000000003E-2</v>
      </c>
      <c r="K285" s="1">
        <v>45</v>
      </c>
      <c r="L285" s="1" t="s">
        <v>14</v>
      </c>
    </row>
    <row r="286" spans="1:12" x14ac:dyDescent="0.25">
      <c r="A286" s="1" t="s">
        <v>1318</v>
      </c>
      <c r="B286" s="1" t="str">
        <f>("035484")</f>
        <v>035484</v>
      </c>
      <c r="C286" s="1" t="str">
        <f>("622454354845")</f>
        <v>622454354845</v>
      </c>
      <c r="D286" s="1">
        <v>417012</v>
      </c>
      <c r="E286" t="s">
        <v>367</v>
      </c>
      <c r="F286" s="3">
        <v>6.5319148936170217</v>
      </c>
      <c r="G286" s="1" t="s">
        <v>13</v>
      </c>
      <c r="H286" s="2">
        <v>44621</v>
      </c>
      <c r="I286" s="1">
        <v>7.5999999999999998E-2</v>
      </c>
      <c r="J286" s="1">
        <v>0.16800000000000001</v>
      </c>
      <c r="K286" s="1">
        <v>25</v>
      </c>
      <c r="L286" s="1" t="s">
        <v>14</v>
      </c>
    </row>
    <row r="287" spans="1:12" x14ac:dyDescent="0.25">
      <c r="A287" s="1" t="s">
        <v>1318</v>
      </c>
      <c r="B287" s="1" t="str">
        <f>("035485")</f>
        <v>035485</v>
      </c>
      <c r="C287" s="1" t="str">
        <f>("622454354852")</f>
        <v>622454354852</v>
      </c>
      <c r="D287" s="1">
        <v>417015</v>
      </c>
      <c r="E287" t="s">
        <v>368</v>
      </c>
      <c r="F287" s="3">
        <v>8.1808510638297882</v>
      </c>
      <c r="G287" s="1" t="s">
        <v>13</v>
      </c>
      <c r="H287" s="2">
        <v>44621</v>
      </c>
      <c r="I287" s="1">
        <v>0.08</v>
      </c>
      <c r="J287" s="1">
        <v>0.17599999999999999</v>
      </c>
      <c r="K287" s="1">
        <v>20</v>
      </c>
      <c r="L287" s="1" t="s">
        <v>14</v>
      </c>
    </row>
    <row r="288" spans="1:12" x14ac:dyDescent="0.25">
      <c r="A288" s="1" t="s">
        <v>1318</v>
      </c>
      <c r="B288" s="1" t="str">
        <f>("035486")</f>
        <v>035486</v>
      </c>
      <c r="C288" s="1" t="str">
        <f>("622454354869")</f>
        <v>622454354869</v>
      </c>
      <c r="D288" s="1">
        <v>417020</v>
      </c>
      <c r="E288" t="s">
        <v>369</v>
      </c>
      <c r="F288" s="3">
        <v>10.648936170212766</v>
      </c>
      <c r="G288" s="1" t="s">
        <v>13</v>
      </c>
      <c r="H288" s="2">
        <v>44621</v>
      </c>
      <c r="I288" s="1">
        <v>0.125</v>
      </c>
      <c r="J288" s="1">
        <v>0.27600000000000002</v>
      </c>
      <c r="K288" s="1">
        <v>25</v>
      </c>
      <c r="L288" s="1" t="s">
        <v>14</v>
      </c>
    </row>
    <row r="289" spans="1:12" x14ac:dyDescent="0.25">
      <c r="A289" s="1" t="s">
        <v>1318</v>
      </c>
      <c r="B289" s="1" t="str">
        <f>("035487")</f>
        <v>035487</v>
      </c>
      <c r="C289" s="1" t="str">
        <f>("622454354876")</f>
        <v>622454354876</v>
      </c>
      <c r="D289" s="1">
        <v>417025</v>
      </c>
      <c r="E289" t="s">
        <v>370</v>
      </c>
      <c r="F289" s="3">
        <v>27.765957446808514</v>
      </c>
      <c r="G289" s="1" t="s">
        <v>13</v>
      </c>
      <c r="H289" s="2">
        <v>44621</v>
      </c>
      <c r="I289" s="1">
        <v>0.28199999999999997</v>
      </c>
      <c r="J289" s="1">
        <v>0.622</v>
      </c>
      <c r="K289" s="1">
        <v>10</v>
      </c>
      <c r="L289" s="1" t="s">
        <v>14</v>
      </c>
    </row>
    <row r="290" spans="1:12" x14ac:dyDescent="0.25">
      <c r="A290" s="1" t="s">
        <v>1318</v>
      </c>
      <c r="B290" s="1" t="str">
        <f>("035488")</f>
        <v>035488</v>
      </c>
      <c r="C290" s="1" t="str">
        <f>("622454354883")</f>
        <v>622454354883</v>
      </c>
      <c r="D290" s="1">
        <v>417030</v>
      </c>
      <c r="E290" t="s">
        <v>371</v>
      </c>
      <c r="F290" s="3">
        <v>43.10638297872341</v>
      </c>
      <c r="G290" s="1" t="s">
        <v>13</v>
      </c>
      <c r="H290" s="2">
        <v>44621</v>
      </c>
      <c r="I290" s="1">
        <v>0.38</v>
      </c>
      <c r="J290" s="1">
        <v>0.83799999999999997</v>
      </c>
      <c r="K290" s="1">
        <v>10</v>
      </c>
      <c r="L290" s="1" t="s">
        <v>14</v>
      </c>
    </row>
    <row r="291" spans="1:12" x14ac:dyDescent="0.25">
      <c r="A291" s="1" t="s">
        <v>1318</v>
      </c>
      <c r="B291" s="1" t="str">
        <f>("035489")</f>
        <v>035489</v>
      </c>
      <c r="C291" s="1" t="str">
        <f>("622454354890")</f>
        <v>622454354890</v>
      </c>
      <c r="D291" s="1">
        <v>417040</v>
      </c>
      <c r="E291" t="s">
        <v>372</v>
      </c>
      <c r="F291" s="3">
        <v>77.265957446808514</v>
      </c>
      <c r="G291" s="1" t="s">
        <v>13</v>
      </c>
      <c r="H291" s="2">
        <v>44621</v>
      </c>
      <c r="I291" s="1">
        <v>0.60599999999999998</v>
      </c>
      <c r="J291" s="1">
        <v>1.3360000000000001</v>
      </c>
      <c r="K291" s="1">
        <v>5</v>
      </c>
      <c r="L291" s="1" t="s">
        <v>14</v>
      </c>
    </row>
    <row r="292" spans="1:12" x14ac:dyDescent="0.25">
      <c r="A292" s="1" t="s">
        <v>1318</v>
      </c>
      <c r="B292" s="1" t="str">
        <f>("035490")</f>
        <v>035490</v>
      </c>
      <c r="C292" s="1" t="str">
        <f>("622454354906")</f>
        <v>622454354906</v>
      </c>
      <c r="D292" s="1">
        <v>417050</v>
      </c>
      <c r="E292" t="s">
        <v>373</v>
      </c>
      <c r="F292" s="3">
        <v>153.28723404255319</v>
      </c>
      <c r="G292" s="1" t="s">
        <v>13</v>
      </c>
      <c r="H292" s="2">
        <v>44621</v>
      </c>
      <c r="I292" s="1">
        <v>1.089</v>
      </c>
      <c r="J292" s="1">
        <v>2.4009999999999998</v>
      </c>
      <c r="K292" s="1">
        <v>5</v>
      </c>
      <c r="L292" s="1" t="s">
        <v>14</v>
      </c>
    </row>
    <row r="293" spans="1:12" x14ac:dyDescent="0.25">
      <c r="A293" s="1" t="s">
        <v>1318</v>
      </c>
      <c r="B293" s="1" t="str">
        <f>("035491")</f>
        <v>035491</v>
      </c>
      <c r="C293" s="1" t="str">
        <f>("622454354913")</f>
        <v>622454354913</v>
      </c>
      <c r="D293" s="1">
        <v>417060</v>
      </c>
      <c r="E293" t="s">
        <v>374</v>
      </c>
      <c r="F293" s="3">
        <v>190.90425531914894</v>
      </c>
      <c r="G293" s="1" t="s">
        <v>13</v>
      </c>
      <c r="H293" s="2">
        <v>44621</v>
      </c>
      <c r="I293" s="1">
        <v>2.1819999999999999</v>
      </c>
      <c r="J293" s="1">
        <v>4.8099999999999996</v>
      </c>
      <c r="K293" s="1">
        <v>5</v>
      </c>
      <c r="L293" s="1" t="s">
        <v>14</v>
      </c>
    </row>
    <row r="294" spans="1:12" x14ac:dyDescent="0.25">
      <c r="A294" s="1" t="s">
        <v>1318</v>
      </c>
      <c r="B294" s="1" t="str">
        <f>("035492")</f>
        <v>035492</v>
      </c>
      <c r="C294" s="1" t="str">
        <f>("622454354920")</f>
        <v>622454354920</v>
      </c>
      <c r="D294" s="1">
        <v>417080</v>
      </c>
      <c r="E294" t="s">
        <v>375</v>
      </c>
      <c r="F294" s="3">
        <v>459.11702127659578</v>
      </c>
      <c r="G294" s="1" t="s">
        <v>13</v>
      </c>
      <c r="H294" s="2">
        <v>44621</v>
      </c>
      <c r="I294" s="1">
        <v>3.2919999999999998</v>
      </c>
      <c r="J294" s="1">
        <v>7.258</v>
      </c>
      <c r="K294" s="1">
        <v>3</v>
      </c>
      <c r="L294" s="1" t="s">
        <v>14</v>
      </c>
    </row>
    <row r="295" spans="1:12" x14ac:dyDescent="0.25">
      <c r="A295" s="1" t="s">
        <v>1318</v>
      </c>
      <c r="B295" s="1" t="str">
        <f>("035926")</f>
        <v>035926</v>
      </c>
      <c r="C295" s="1" t="str">
        <f>("622454359260")</f>
        <v>622454359260</v>
      </c>
      <c r="D295" s="1">
        <v>417100</v>
      </c>
      <c r="E295" t="s">
        <v>376</v>
      </c>
      <c r="F295" s="3">
        <v>1195.2021276595744</v>
      </c>
      <c r="G295" s="1" t="s">
        <v>13</v>
      </c>
      <c r="H295" s="2">
        <v>44621</v>
      </c>
      <c r="I295" s="1">
        <v>6.8070000000000004</v>
      </c>
      <c r="J295" s="1">
        <v>15.007</v>
      </c>
      <c r="K295" s="1">
        <v>3</v>
      </c>
      <c r="L295" s="1" t="s">
        <v>27</v>
      </c>
    </row>
    <row r="296" spans="1:12" x14ac:dyDescent="0.25">
      <c r="A296" s="1" t="s">
        <v>1318</v>
      </c>
      <c r="B296" s="1" t="str">
        <f>("035927")</f>
        <v>035927</v>
      </c>
      <c r="C296" s="1" t="str">
        <f>("622454359277")</f>
        <v>622454359277</v>
      </c>
      <c r="D296" s="1">
        <v>417120</v>
      </c>
      <c r="E296" t="s">
        <v>377</v>
      </c>
      <c r="F296" s="3">
        <v>1771.1382978723404</v>
      </c>
      <c r="G296" s="1" t="s">
        <v>13</v>
      </c>
      <c r="H296" s="2">
        <v>44621</v>
      </c>
      <c r="I296" s="1">
        <v>10.266</v>
      </c>
      <c r="J296" s="1">
        <v>22.632999999999999</v>
      </c>
      <c r="K296" s="1">
        <v>2</v>
      </c>
      <c r="L296" s="1" t="s">
        <v>27</v>
      </c>
    </row>
    <row r="297" spans="1:12" x14ac:dyDescent="0.25">
      <c r="A297" s="1" t="s">
        <v>1318</v>
      </c>
      <c r="B297" s="1" t="str">
        <f>("235876")</f>
        <v>235876</v>
      </c>
      <c r="C297" s="1" t="str">
        <f>("622454397248")</f>
        <v>622454397248</v>
      </c>
      <c r="D297" s="1">
        <v>423100</v>
      </c>
      <c r="E297" t="s">
        <v>378</v>
      </c>
      <c r="F297" s="3">
        <v>1580.1063829787236</v>
      </c>
      <c r="G297" s="1" t="s">
        <v>13</v>
      </c>
      <c r="H297" s="2">
        <v>44621</v>
      </c>
      <c r="I297" s="1">
        <v>5.48</v>
      </c>
      <c r="J297" s="1">
        <v>12.081</v>
      </c>
      <c r="K297" s="1">
        <v>1</v>
      </c>
      <c r="L297" s="1" t="s">
        <v>27</v>
      </c>
    </row>
    <row r="298" spans="1:12" x14ac:dyDescent="0.25">
      <c r="A298" s="1" t="s">
        <v>1318</v>
      </c>
      <c r="B298" s="1" t="str">
        <f>("235877")</f>
        <v>235877</v>
      </c>
      <c r="C298" s="1" t="str">
        <f>("622454397255")</f>
        <v>622454397255</v>
      </c>
      <c r="D298" s="1">
        <v>423120</v>
      </c>
      <c r="E298" t="s">
        <v>379</v>
      </c>
      <c r="F298" s="3">
        <v>2314.1702127659578</v>
      </c>
      <c r="G298" s="1" t="s">
        <v>13</v>
      </c>
      <c r="H298" s="2">
        <v>44621</v>
      </c>
      <c r="I298" s="1">
        <v>8.39</v>
      </c>
      <c r="J298" s="1">
        <v>18.497</v>
      </c>
      <c r="K298" s="1">
        <v>1</v>
      </c>
      <c r="L298" s="1" t="s">
        <v>27</v>
      </c>
    </row>
    <row r="299" spans="1:12" x14ac:dyDescent="0.25">
      <c r="A299" s="1" t="s">
        <v>1318</v>
      </c>
      <c r="B299" s="1" t="str">
        <f>("125470")</f>
        <v>125470</v>
      </c>
      <c r="C299" s="1" t="str">
        <f>("622454463011")</f>
        <v>622454463011</v>
      </c>
      <c r="D299" s="1" t="s">
        <v>380</v>
      </c>
      <c r="E299" t="s">
        <v>381</v>
      </c>
      <c r="F299" s="3">
        <v>474.93</v>
      </c>
      <c r="G299" s="1" t="s">
        <v>13</v>
      </c>
      <c r="H299" s="2">
        <v>44621</v>
      </c>
      <c r="I299" s="1">
        <v>5.7270000000000003</v>
      </c>
      <c r="J299" s="1">
        <v>12.625999999999999</v>
      </c>
      <c r="K299" s="1">
        <v>2</v>
      </c>
      <c r="L299" s="1" t="s">
        <v>31</v>
      </c>
    </row>
    <row r="300" spans="1:12" x14ac:dyDescent="0.25">
      <c r="A300" s="1" t="s">
        <v>1318</v>
      </c>
      <c r="B300" s="1" t="str">
        <f>("125472")</f>
        <v>125472</v>
      </c>
      <c r="C300" s="1" t="str">
        <f>("622454463066")</f>
        <v>622454463066</v>
      </c>
      <c r="D300" s="1" t="s">
        <v>382</v>
      </c>
      <c r="E300" t="s">
        <v>383</v>
      </c>
      <c r="F300" s="3">
        <v>503.69</v>
      </c>
      <c r="G300" s="1" t="s">
        <v>13</v>
      </c>
      <c r="H300" s="2">
        <v>44621</v>
      </c>
      <c r="I300" s="1">
        <v>8.5030000000000001</v>
      </c>
      <c r="J300" s="1">
        <v>18.745999999999999</v>
      </c>
      <c r="L300" s="1" t="s">
        <v>31</v>
      </c>
    </row>
    <row r="301" spans="1:12" x14ac:dyDescent="0.25">
      <c r="A301" s="1" t="s">
        <v>1318</v>
      </c>
      <c r="B301" s="1" t="str">
        <f>("125474")</f>
        <v>125474</v>
      </c>
      <c r="C301" s="1" t="str">
        <f>("622454463080")</f>
        <v>622454463080</v>
      </c>
      <c r="D301" s="1" t="s">
        <v>384</v>
      </c>
      <c r="E301" t="s">
        <v>385</v>
      </c>
      <c r="F301" s="3">
        <v>1056.6199999999999</v>
      </c>
      <c r="G301" s="1" t="s">
        <v>13</v>
      </c>
      <c r="H301" s="2">
        <v>44621</v>
      </c>
      <c r="I301" s="1">
        <v>10.933999999999999</v>
      </c>
      <c r="J301" s="1">
        <v>24.105</v>
      </c>
      <c r="L301" s="1" t="s">
        <v>31</v>
      </c>
    </row>
    <row r="302" spans="1:12" x14ac:dyDescent="0.25">
      <c r="A302" s="1" t="s">
        <v>1318</v>
      </c>
      <c r="B302" s="1" t="str">
        <f>("125476")</f>
        <v>125476</v>
      </c>
      <c r="C302" s="1" t="str">
        <f>("622454463103")</f>
        <v>622454463103</v>
      </c>
      <c r="D302" s="1" t="s">
        <v>386</v>
      </c>
      <c r="E302" t="s">
        <v>387</v>
      </c>
      <c r="F302" s="3">
        <v>1396.44</v>
      </c>
      <c r="G302" s="1" t="s">
        <v>13</v>
      </c>
      <c r="H302" s="2">
        <v>44621</v>
      </c>
      <c r="I302" s="1">
        <v>15.885</v>
      </c>
      <c r="J302" s="1">
        <v>35.020000000000003</v>
      </c>
      <c r="L302" s="1" t="s">
        <v>31</v>
      </c>
    </row>
    <row r="303" spans="1:12" x14ac:dyDescent="0.25">
      <c r="A303" s="1" t="s">
        <v>1318</v>
      </c>
      <c r="B303" s="1" t="str">
        <f>("125478")</f>
        <v>125478</v>
      </c>
      <c r="C303" s="1" t="str">
        <f>("622454463127")</f>
        <v>622454463127</v>
      </c>
      <c r="D303" s="1" t="s">
        <v>388</v>
      </c>
      <c r="E303" t="s">
        <v>389</v>
      </c>
      <c r="F303" s="3">
        <v>1476.51</v>
      </c>
      <c r="G303" s="1" t="s">
        <v>13</v>
      </c>
      <c r="H303" s="2">
        <v>44621</v>
      </c>
      <c r="I303" s="1">
        <v>25.96</v>
      </c>
      <c r="J303" s="1">
        <v>57.231999999999999</v>
      </c>
      <c r="L303" s="1" t="s">
        <v>31</v>
      </c>
    </row>
    <row r="304" spans="1:12" x14ac:dyDescent="0.25">
      <c r="A304" s="1" t="s">
        <v>1318</v>
      </c>
      <c r="B304" s="1" t="str">
        <f>("125479")</f>
        <v>125479</v>
      </c>
      <c r="C304" s="1" t="str">
        <f>("622454463134")</f>
        <v>622454463134</v>
      </c>
      <c r="D304" s="1" t="s">
        <v>390</v>
      </c>
      <c r="E304" t="s">
        <v>391</v>
      </c>
      <c r="F304" s="3">
        <v>1912.64</v>
      </c>
      <c r="G304" s="1" t="s">
        <v>13</v>
      </c>
      <c r="H304" s="2">
        <v>44621</v>
      </c>
      <c r="I304" s="1">
        <v>35.448</v>
      </c>
      <c r="J304" s="1">
        <v>78.149000000000001</v>
      </c>
      <c r="L304" s="1" t="s">
        <v>31</v>
      </c>
    </row>
    <row r="305" spans="1:12" x14ac:dyDescent="0.25">
      <c r="A305" s="1" t="s">
        <v>1318</v>
      </c>
      <c r="B305" s="1" t="str">
        <f>("125480")</f>
        <v>125480</v>
      </c>
      <c r="C305" s="1" t="str">
        <f>("622454463141")</f>
        <v>622454463141</v>
      </c>
      <c r="D305" s="1" t="s">
        <v>392</v>
      </c>
      <c r="E305" t="s">
        <v>393</v>
      </c>
      <c r="F305" s="3">
        <v>3077.52</v>
      </c>
      <c r="G305" s="1" t="s">
        <v>13</v>
      </c>
      <c r="H305" s="2">
        <v>44621</v>
      </c>
      <c r="I305" s="1">
        <v>48.162999999999997</v>
      </c>
      <c r="J305" s="1">
        <v>106.181</v>
      </c>
      <c r="L305" s="1" t="s">
        <v>31</v>
      </c>
    </row>
    <row r="306" spans="1:12" x14ac:dyDescent="0.25">
      <c r="A306" s="1" t="s">
        <v>1318</v>
      </c>
      <c r="B306" s="1" t="str">
        <f>("125442")</f>
        <v>125442</v>
      </c>
      <c r="C306" s="1" t="str">
        <f>("622454462731")</f>
        <v>622454462731</v>
      </c>
      <c r="D306" s="1" t="s">
        <v>394</v>
      </c>
      <c r="E306" t="s">
        <v>395</v>
      </c>
      <c r="F306" s="3">
        <v>44.26</v>
      </c>
      <c r="G306" s="1" t="s">
        <v>13</v>
      </c>
      <c r="H306" s="2">
        <v>44621</v>
      </c>
      <c r="I306" s="1">
        <v>0.13</v>
      </c>
      <c r="J306" s="1">
        <v>0.28699999999999998</v>
      </c>
      <c r="K306" s="1">
        <v>20</v>
      </c>
      <c r="L306" s="1" t="s">
        <v>31</v>
      </c>
    </row>
    <row r="307" spans="1:12" x14ac:dyDescent="0.25">
      <c r="A307" s="1" t="s">
        <v>1318</v>
      </c>
      <c r="B307" s="1" t="str">
        <f>("125443")</f>
        <v>125443</v>
      </c>
      <c r="C307" s="1" t="str">
        <f>("622454462748")</f>
        <v>622454462748</v>
      </c>
      <c r="D307" s="1" t="s">
        <v>396</v>
      </c>
      <c r="E307" t="s">
        <v>397</v>
      </c>
      <c r="F307" s="3">
        <v>55.86</v>
      </c>
      <c r="G307" s="1" t="s">
        <v>13</v>
      </c>
      <c r="H307" s="2">
        <v>44621</v>
      </c>
      <c r="I307" s="1">
        <v>0.32</v>
      </c>
      <c r="J307" s="1">
        <v>0.70499999999999996</v>
      </c>
      <c r="K307" s="1">
        <v>30</v>
      </c>
      <c r="L307" s="1" t="s">
        <v>31</v>
      </c>
    </row>
    <row r="308" spans="1:12" x14ac:dyDescent="0.25">
      <c r="A308" s="1" t="s">
        <v>1318</v>
      </c>
      <c r="B308" s="1" t="str">
        <f>("125444")</f>
        <v>125444</v>
      </c>
      <c r="C308" s="1" t="str">
        <f>("622454462755")</f>
        <v>622454462755</v>
      </c>
      <c r="D308" s="1" t="s">
        <v>398</v>
      </c>
      <c r="E308" t="s">
        <v>399</v>
      </c>
      <c r="F308" s="3">
        <v>67.260000000000005</v>
      </c>
      <c r="G308" s="1" t="s">
        <v>13</v>
      </c>
      <c r="H308" s="2">
        <v>44621</v>
      </c>
      <c r="I308" s="1">
        <v>0.52</v>
      </c>
      <c r="J308" s="1">
        <v>1.1459999999999999</v>
      </c>
      <c r="K308" s="1">
        <v>10</v>
      </c>
      <c r="L308" s="1" t="s">
        <v>31</v>
      </c>
    </row>
    <row r="309" spans="1:12" x14ac:dyDescent="0.25">
      <c r="A309" s="1" t="s">
        <v>1318</v>
      </c>
      <c r="B309" s="1" t="str">
        <f>("125447")</f>
        <v>125447</v>
      </c>
      <c r="C309" s="1" t="str">
        <f>("622454462786")</f>
        <v>622454462786</v>
      </c>
      <c r="D309" s="1" t="s">
        <v>400</v>
      </c>
      <c r="E309" t="s">
        <v>401</v>
      </c>
      <c r="F309" s="3">
        <v>108.07</v>
      </c>
      <c r="G309" s="1" t="s">
        <v>13</v>
      </c>
      <c r="H309" s="2">
        <v>44621</v>
      </c>
      <c r="I309" s="1">
        <v>1.357</v>
      </c>
      <c r="J309" s="1">
        <v>2.992</v>
      </c>
      <c r="K309" s="1">
        <v>8</v>
      </c>
      <c r="L309" s="1" t="s">
        <v>31</v>
      </c>
    </row>
    <row r="310" spans="1:12" x14ac:dyDescent="0.25">
      <c r="A310" s="1" t="s">
        <v>1318</v>
      </c>
      <c r="B310" s="1" t="str">
        <f>("125449")</f>
        <v>125449</v>
      </c>
      <c r="C310" s="1" t="str">
        <f>("622454462809")</f>
        <v>622454462809</v>
      </c>
      <c r="D310" s="1" t="s">
        <v>402</v>
      </c>
      <c r="E310" t="s">
        <v>403</v>
      </c>
      <c r="F310" s="3">
        <v>182.67</v>
      </c>
      <c r="G310" s="1" t="s">
        <v>13</v>
      </c>
      <c r="H310" s="2">
        <v>44621</v>
      </c>
      <c r="I310" s="1">
        <v>2.585</v>
      </c>
      <c r="J310" s="1">
        <v>5.6989999999999998</v>
      </c>
      <c r="L310" s="1" t="s">
        <v>31</v>
      </c>
    </row>
    <row r="311" spans="1:12" x14ac:dyDescent="0.25">
      <c r="A311" s="1" t="s">
        <v>1318</v>
      </c>
      <c r="B311" s="1" t="str">
        <f>("125451")</f>
        <v>125451</v>
      </c>
      <c r="C311" s="1" t="str">
        <f>("622454462823")</f>
        <v>622454462823</v>
      </c>
      <c r="D311" s="1" t="s">
        <v>404</v>
      </c>
      <c r="E311" t="s">
        <v>405</v>
      </c>
      <c r="F311" s="3">
        <v>275.64999999999998</v>
      </c>
      <c r="G311" s="1" t="s">
        <v>13</v>
      </c>
      <c r="H311" s="2">
        <v>44621</v>
      </c>
      <c r="I311" s="1">
        <v>4.6390000000000002</v>
      </c>
      <c r="J311" s="1">
        <v>10.227</v>
      </c>
      <c r="L311" s="1" t="s">
        <v>31</v>
      </c>
    </row>
    <row r="312" spans="1:12" x14ac:dyDescent="0.25">
      <c r="A312" s="1" t="s">
        <v>1318</v>
      </c>
      <c r="B312" s="1" t="str">
        <f>("125453")</f>
        <v>125453</v>
      </c>
      <c r="C312" s="1" t="str">
        <f>("622454462847")</f>
        <v>622454462847</v>
      </c>
      <c r="D312" s="1" t="s">
        <v>406</v>
      </c>
      <c r="E312" t="s">
        <v>407</v>
      </c>
      <c r="F312" s="3">
        <v>436.03</v>
      </c>
      <c r="G312" s="1" t="s">
        <v>13</v>
      </c>
      <c r="H312" s="2">
        <v>44621</v>
      </c>
      <c r="I312" s="1">
        <v>7.0860000000000003</v>
      </c>
      <c r="J312" s="1">
        <v>15.622</v>
      </c>
      <c r="L312" s="1" t="s">
        <v>31</v>
      </c>
    </row>
    <row r="313" spans="1:12" x14ac:dyDescent="0.25">
      <c r="A313" s="1" t="s">
        <v>1318</v>
      </c>
      <c r="B313" s="1" t="str">
        <f>("125455")</f>
        <v>125455</v>
      </c>
      <c r="C313" s="1" t="str">
        <f>("622454462861")</f>
        <v>622454462861</v>
      </c>
      <c r="D313" s="1" t="s">
        <v>408</v>
      </c>
      <c r="E313" t="s">
        <v>409</v>
      </c>
      <c r="F313" s="3">
        <v>685.52</v>
      </c>
      <c r="G313" s="1" t="s">
        <v>13</v>
      </c>
      <c r="H313" s="2">
        <v>44621</v>
      </c>
      <c r="I313" s="1">
        <v>8.7690000000000001</v>
      </c>
      <c r="J313" s="1">
        <v>19.332000000000001</v>
      </c>
      <c r="L313" s="1" t="s">
        <v>31</v>
      </c>
    </row>
    <row r="314" spans="1:12" x14ac:dyDescent="0.25">
      <c r="A314" s="1" t="s">
        <v>1318</v>
      </c>
      <c r="B314" s="1" t="str">
        <f>("125457")</f>
        <v>125457</v>
      </c>
      <c r="C314" s="1" t="str">
        <f>("622454462885")</f>
        <v>622454462885</v>
      </c>
      <c r="D314" s="1" t="s">
        <v>410</v>
      </c>
      <c r="E314" t="s">
        <v>411</v>
      </c>
      <c r="F314" s="3">
        <v>934.5</v>
      </c>
      <c r="G314" s="1" t="s">
        <v>13</v>
      </c>
      <c r="H314" s="2">
        <v>44621</v>
      </c>
      <c r="I314" s="1">
        <v>12.983000000000001</v>
      </c>
      <c r="J314" s="1">
        <v>28.623000000000001</v>
      </c>
      <c r="L314" s="1" t="s">
        <v>31</v>
      </c>
    </row>
    <row r="315" spans="1:12" x14ac:dyDescent="0.25">
      <c r="A315" s="1" t="s">
        <v>1318</v>
      </c>
      <c r="B315" s="1" t="str">
        <f>("125459")</f>
        <v>125459</v>
      </c>
      <c r="C315" s="1" t="str">
        <f>("622454462908")</f>
        <v>622454462908</v>
      </c>
      <c r="D315" s="1" t="s">
        <v>412</v>
      </c>
      <c r="E315" t="s">
        <v>413</v>
      </c>
      <c r="F315" s="3">
        <v>1122.27</v>
      </c>
      <c r="G315" s="1" t="s">
        <v>13</v>
      </c>
      <c r="H315" s="2">
        <v>44621</v>
      </c>
      <c r="I315" s="1">
        <v>22.692</v>
      </c>
      <c r="J315" s="1">
        <v>50.027000000000001</v>
      </c>
      <c r="L315" s="1" t="s">
        <v>31</v>
      </c>
    </row>
    <row r="316" spans="1:12" x14ac:dyDescent="0.25">
      <c r="A316" s="1" t="s">
        <v>1318</v>
      </c>
      <c r="B316" s="1" t="str">
        <f>("125460")</f>
        <v>125460</v>
      </c>
      <c r="C316" s="1" t="str">
        <f>("622454462915")</f>
        <v>622454462915</v>
      </c>
      <c r="D316" s="1" t="s">
        <v>414</v>
      </c>
      <c r="E316" t="s">
        <v>415</v>
      </c>
      <c r="F316" s="3">
        <v>1387.28</v>
      </c>
      <c r="G316" s="1" t="s">
        <v>13</v>
      </c>
      <c r="H316" s="2">
        <v>44621</v>
      </c>
      <c r="I316" s="1">
        <v>24.036000000000001</v>
      </c>
      <c r="J316" s="1">
        <v>52.99</v>
      </c>
      <c r="L316" s="1" t="s">
        <v>31</v>
      </c>
    </row>
    <row r="317" spans="1:12" x14ac:dyDescent="0.25">
      <c r="A317" s="1" t="s">
        <v>1318</v>
      </c>
      <c r="B317" s="1" t="str">
        <f>("125461")</f>
        <v>125461</v>
      </c>
      <c r="C317" s="1" t="str">
        <f>("622454462922")</f>
        <v>622454462922</v>
      </c>
      <c r="D317" s="1" t="s">
        <v>416</v>
      </c>
      <c r="E317" t="s">
        <v>417</v>
      </c>
      <c r="F317" s="3">
        <v>2763.19</v>
      </c>
      <c r="G317" s="1" t="s">
        <v>13</v>
      </c>
      <c r="H317" s="2">
        <v>44621</v>
      </c>
      <c r="I317" s="1">
        <v>49.246000000000002</v>
      </c>
      <c r="J317" s="1">
        <v>108.569</v>
      </c>
      <c r="L317" s="1" t="s">
        <v>31</v>
      </c>
    </row>
    <row r="318" spans="1:12" x14ac:dyDescent="0.25">
      <c r="A318" s="1" t="s">
        <v>1318</v>
      </c>
      <c r="B318" s="1" t="str">
        <f>("125422")</f>
        <v>125422</v>
      </c>
      <c r="C318" s="1" t="str">
        <f>("622454462533")</f>
        <v>622454462533</v>
      </c>
      <c r="D318" s="1" t="s">
        <v>418</v>
      </c>
      <c r="E318" t="s">
        <v>419</v>
      </c>
      <c r="F318" s="3">
        <v>40.78</v>
      </c>
      <c r="G318" s="1" t="s">
        <v>13</v>
      </c>
      <c r="H318" s="2">
        <v>44621</v>
      </c>
      <c r="I318" s="1">
        <v>0.13</v>
      </c>
      <c r="J318" s="1">
        <v>0.28699999999999998</v>
      </c>
      <c r="K318" s="1">
        <v>150</v>
      </c>
      <c r="L318" s="1" t="s">
        <v>31</v>
      </c>
    </row>
    <row r="319" spans="1:12" x14ac:dyDescent="0.25">
      <c r="A319" s="1" t="s">
        <v>1318</v>
      </c>
      <c r="B319" s="1" t="str">
        <f>("125423")</f>
        <v>125423</v>
      </c>
      <c r="C319" s="1" t="str">
        <f>("622454462540")</f>
        <v>622454462540</v>
      </c>
      <c r="D319" s="1" t="s">
        <v>420</v>
      </c>
      <c r="E319" t="s">
        <v>421</v>
      </c>
      <c r="F319" s="3">
        <v>62.14</v>
      </c>
      <c r="G319" s="1" t="s">
        <v>13</v>
      </c>
      <c r="H319" s="2">
        <v>44621</v>
      </c>
      <c r="I319" s="1">
        <v>0.36699999999999999</v>
      </c>
      <c r="J319" s="1">
        <v>0.80900000000000005</v>
      </c>
      <c r="K319" s="1">
        <v>20</v>
      </c>
      <c r="L319" s="1" t="s">
        <v>31</v>
      </c>
    </row>
    <row r="320" spans="1:12" x14ac:dyDescent="0.25">
      <c r="A320" s="1" t="s">
        <v>1318</v>
      </c>
      <c r="B320" s="1" t="str">
        <f>("125424")</f>
        <v>125424</v>
      </c>
      <c r="C320" s="1" t="str">
        <f>("622454462557")</f>
        <v>622454462557</v>
      </c>
      <c r="D320" s="1" t="s">
        <v>422</v>
      </c>
      <c r="E320" t="s">
        <v>423</v>
      </c>
      <c r="F320" s="3">
        <v>87.4</v>
      </c>
      <c r="G320" s="1" t="s">
        <v>13</v>
      </c>
      <c r="H320" s="2">
        <v>44621</v>
      </c>
      <c r="I320" s="1">
        <v>0.53100000000000003</v>
      </c>
      <c r="J320" s="1">
        <v>1.171</v>
      </c>
      <c r="K320" s="1">
        <v>18</v>
      </c>
      <c r="L320" s="1" t="s">
        <v>31</v>
      </c>
    </row>
    <row r="321" spans="1:12" x14ac:dyDescent="0.25">
      <c r="A321" s="1" t="s">
        <v>1318</v>
      </c>
      <c r="B321" s="1" t="str">
        <f>("125426")</f>
        <v>125426</v>
      </c>
      <c r="C321" s="1" t="str">
        <f>("622454462571")</f>
        <v>622454462571</v>
      </c>
      <c r="D321" s="1" t="s">
        <v>424</v>
      </c>
      <c r="E321" t="s">
        <v>425</v>
      </c>
      <c r="F321" s="3">
        <v>93.28</v>
      </c>
      <c r="G321" s="1" t="s">
        <v>13</v>
      </c>
      <c r="H321" s="2">
        <v>44621</v>
      </c>
      <c r="I321" s="1">
        <v>0.78500000000000003</v>
      </c>
      <c r="J321" s="1">
        <v>1.7310000000000001</v>
      </c>
      <c r="L321" s="1" t="s">
        <v>31</v>
      </c>
    </row>
    <row r="322" spans="1:12" x14ac:dyDescent="0.25">
      <c r="A322" s="1" t="s">
        <v>1318</v>
      </c>
      <c r="B322" s="1" t="str">
        <f>("125427")</f>
        <v>125427</v>
      </c>
      <c r="C322" s="1" t="str">
        <f>("622454462588")</f>
        <v>622454462588</v>
      </c>
      <c r="D322" s="1" t="s">
        <v>426</v>
      </c>
      <c r="E322" t="s">
        <v>427</v>
      </c>
      <c r="F322" s="3">
        <v>108.07</v>
      </c>
      <c r="G322" s="1" t="s">
        <v>13</v>
      </c>
      <c r="H322" s="2">
        <v>44621</v>
      </c>
      <c r="I322" s="1">
        <v>1.29</v>
      </c>
      <c r="J322" s="1">
        <v>2.8439999999999999</v>
      </c>
      <c r="K322" s="1">
        <v>8</v>
      </c>
      <c r="L322" s="1" t="s">
        <v>31</v>
      </c>
    </row>
    <row r="323" spans="1:12" x14ac:dyDescent="0.25">
      <c r="A323" s="1" t="s">
        <v>1318</v>
      </c>
      <c r="B323" s="1" t="str">
        <f>("125429")</f>
        <v>125429</v>
      </c>
      <c r="C323" s="1" t="str">
        <f>("622454462601")</f>
        <v>622454462601</v>
      </c>
      <c r="D323" s="1" t="s">
        <v>428</v>
      </c>
      <c r="E323" t="s">
        <v>429</v>
      </c>
      <c r="F323" s="3">
        <v>182.67</v>
      </c>
      <c r="G323" s="1" t="s">
        <v>13</v>
      </c>
      <c r="H323" s="2">
        <v>44621</v>
      </c>
      <c r="I323" s="1">
        <v>2.456</v>
      </c>
      <c r="J323" s="1">
        <v>5.415</v>
      </c>
      <c r="K323" s="1">
        <v>4</v>
      </c>
      <c r="L323" s="1" t="s">
        <v>31</v>
      </c>
    </row>
    <row r="324" spans="1:12" x14ac:dyDescent="0.25">
      <c r="A324" s="1" t="s">
        <v>1318</v>
      </c>
      <c r="B324" s="1" t="str">
        <f>("125431")</f>
        <v>125431</v>
      </c>
      <c r="C324" s="1" t="str">
        <f>("622454462625")</f>
        <v>622454462625</v>
      </c>
      <c r="D324" s="1" t="s">
        <v>430</v>
      </c>
      <c r="E324" t="s">
        <v>431</v>
      </c>
      <c r="F324" s="3">
        <v>275.64999999999998</v>
      </c>
      <c r="G324" s="1" t="s">
        <v>13</v>
      </c>
      <c r="H324" s="2">
        <v>44621</v>
      </c>
      <c r="I324" s="1">
        <v>4.2290000000000001</v>
      </c>
      <c r="J324" s="1">
        <v>9.3230000000000004</v>
      </c>
      <c r="L324" s="1" t="s">
        <v>31</v>
      </c>
    </row>
    <row r="325" spans="1:12" x14ac:dyDescent="0.25">
      <c r="A325" s="1" t="s">
        <v>1318</v>
      </c>
      <c r="B325" s="1" t="str">
        <f>("125433")</f>
        <v>125433</v>
      </c>
      <c r="C325" s="1" t="str">
        <f>("622454462649")</f>
        <v>622454462649</v>
      </c>
      <c r="D325" s="1" t="s">
        <v>432</v>
      </c>
      <c r="E325" t="s">
        <v>433</v>
      </c>
      <c r="F325" s="3">
        <v>436.03</v>
      </c>
      <c r="G325" s="1" t="s">
        <v>13</v>
      </c>
      <c r="H325" s="2">
        <v>44621</v>
      </c>
      <c r="I325" s="1">
        <v>6.242</v>
      </c>
      <c r="J325" s="1">
        <v>13.760999999999999</v>
      </c>
      <c r="L325" s="1" t="s">
        <v>31</v>
      </c>
    </row>
    <row r="326" spans="1:12" x14ac:dyDescent="0.25">
      <c r="A326" s="1" t="s">
        <v>1318</v>
      </c>
      <c r="B326" s="1" t="str">
        <f>("125435")</f>
        <v>125435</v>
      </c>
      <c r="C326" s="1" t="str">
        <f>("622454462663")</f>
        <v>622454462663</v>
      </c>
      <c r="D326" s="1" t="s">
        <v>434</v>
      </c>
      <c r="E326" t="s">
        <v>435</v>
      </c>
      <c r="F326" s="3">
        <v>685.52</v>
      </c>
      <c r="G326" s="1" t="s">
        <v>13</v>
      </c>
      <c r="H326" s="2">
        <v>44621</v>
      </c>
      <c r="I326" s="1">
        <v>9.9390000000000001</v>
      </c>
      <c r="J326" s="1">
        <v>21.911999999999999</v>
      </c>
      <c r="L326" s="1" t="s">
        <v>31</v>
      </c>
    </row>
    <row r="327" spans="1:12" x14ac:dyDescent="0.25">
      <c r="A327" s="1" t="s">
        <v>1318</v>
      </c>
      <c r="B327" s="1" t="str">
        <f>("125437")</f>
        <v>125437</v>
      </c>
      <c r="C327" s="1" t="str">
        <f>("622454462687")</f>
        <v>622454462687</v>
      </c>
      <c r="D327" s="1" t="s">
        <v>436</v>
      </c>
      <c r="E327" t="s">
        <v>437</v>
      </c>
      <c r="F327" s="3">
        <v>934.5</v>
      </c>
      <c r="G327" s="1" t="s">
        <v>13</v>
      </c>
      <c r="H327" s="2">
        <v>44621</v>
      </c>
      <c r="I327" s="1">
        <v>14.298</v>
      </c>
      <c r="J327" s="1">
        <v>31.521999999999998</v>
      </c>
      <c r="L327" s="1" t="s">
        <v>31</v>
      </c>
    </row>
    <row r="328" spans="1:12" x14ac:dyDescent="0.25">
      <c r="A328" s="1" t="s">
        <v>1318</v>
      </c>
      <c r="B328" s="1" t="str">
        <f>("125439")</f>
        <v>125439</v>
      </c>
      <c r="C328" s="1" t="str">
        <f>("622454462700")</f>
        <v>622454462700</v>
      </c>
      <c r="D328" s="1" t="s">
        <v>438</v>
      </c>
      <c r="E328" t="s">
        <v>439</v>
      </c>
      <c r="F328" s="3">
        <v>1122.27</v>
      </c>
      <c r="G328" s="1" t="s">
        <v>13</v>
      </c>
      <c r="H328" s="2">
        <v>44621</v>
      </c>
      <c r="I328" s="1">
        <v>20.251000000000001</v>
      </c>
      <c r="J328" s="1">
        <v>44.646000000000001</v>
      </c>
      <c r="L328" s="1" t="s">
        <v>31</v>
      </c>
    </row>
    <row r="329" spans="1:12" x14ac:dyDescent="0.25">
      <c r="A329" s="1" t="s">
        <v>1318</v>
      </c>
      <c r="B329" s="1" t="str">
        <f>("125440")</f>
        <v>125440</v>
      </c>
      <c r="C329" s="1" t="str">
        <f>("622454462717")</f>
        <v>622454462717</v>
      </c>
      <c r="D329" s="1" t="s">
        <v>440</v>
      </c>
      <c r="E329" t="s">
        <v>441</v>
      </c>
      <c r="F329" s="3">
        <v>1387.28</v>
      </c>
      <c r="G329" s="1" t="s">
        <v>13</v>
      </c>
      <c r="H329" s="2">
        <v>44621</v>
      </c>
      <c r="I329" s="1">
        <v>26.588999999999999</v>
      </c>
      <c r="J329" s="1">
        <v>58.619</v>
      </c>
      <c r="L329" s="1" t="s">
        <v>31</v>
      </c>
    </row>
    <row r="330" spans="1:12" x14ac:dyDescent="0.25">
      <c r="A330" s="1" t="s">
        <v>1318</v>
      </c>
      <c r="B330" s="1" t="str">
        <f>("125441")</f>
        <v>125441</v>
      </c>
      <c r="C330" s="1" t="str">
        <f>("622454462724")</f>
        <v>622454462724</v>
      </c>
      <c r="D330" s="1" t="s">
        <v>442</v>
      </c>
      <c r="E330" t="s">
        <v>443</v>
      </c>
      <c r="F330" s="3">
        <v>2763.19</v>
      </c>
      <c r="G330" s="1" t="s">
        <v>13</v>
      </c>
      <c r="H330" s="2">
        <v>44621</v>
      </c>
      <c r="I330" s="1">
        <v>41.555999999999997</v>
      </c>
      <c r="J330" s="1">
        <v>91.614999999999995</v>
      </c>
      <c r="L330" s="1" t="s">
        <v>31</v>
      </c>
    </row>
    <row r="331" spans="1:12" x14ac:dyDescent="0.25">
      <c r="A331" s="1" t="s">
        <v>1318</v>
      </c>
      <c r="B331" s="1" t="str">
        <f>("125409")</f>
        <v>125409</v>
      </c>
      <c r="C331" s="1" t="str">
        <f>("622454462403")</f>
        <v>622454462403</v>
      </c>
      <c r="D331" s="1" t="s">
        <v>444</v>
      </c>
      <c r="E331" t="s">
        <v>445</v>
      </c>
      <c r="F331" s="3">
        <v>44.26</v>
      </c>
      <c r="G331" s="1" t="s">
        <v>13</v>
      </c>
      <c r="H331" s="2">
        <v>44621</v>
      </c>
      <c r="I331" s="1">
        <v>0.124</v>
      </c>
      <c r="J331" s="1">
        <v>0.27300000000000002</v>
      </c>
      <c r="L331" s="1" t="s">
        <v>31</v>
      </c>
    </row>
    <row r="332" spans="1:12" x14ac:dyDescent="0.25">
      <c r="A332" s="1" t="s">
        <v>1318</v>
      </c>
      <c r="B332" s="1" t="str">
        <f>("125410")</f>
        <v>125410</v>
      </c>
      <c r="C332" s="1" t="str">
        <f>("622454462410")</f>
        <v>622454462410</v>
      </c>
      <c r="D332" s="1" t="s">
        <v>446</v>
      </c>
      <c r="E332" t="s">
        <v>447</v>
      </c>
      <c r="F332" s="3">
        <v>55.86</v>
      </c>
      <c r="G332" s="1" t="s">
        <v>13</v>
      </c>
      <c r="H332" s="2">
        <v>44621</v>
      </c>
      <c r="I332" s="1">
        <v>0.32</v>
      </c>
      <c r="J332" s="1">
        <v>0.70499999999999996</v>
      </c>
      <c r="L332" s="1" t="s">
        <v>31</v>
      </c>
    </row>
    <row r="333" spans="1:12" x14ac:dyDescent="0.25">
      <c r="A333" s="1" t="s">
        <v>1318</v>
      </c>
      <c r="B333" s="1" t="str">
        <f>("125411")</f>
        <v>125411</v>
      </c>
      <c r="C333" s="1" t="str">
        <f>("622454462427")</f>
        <v>622454462427</v>
      </c>
      <c r="D333" s="1" t="s">
        <v>448</v>
      </c>
      <c r="E333" t="s">
        <v>449</v>
      </c>
      <c r="F333" s="3">
        <v>67.260000000000005</v>
      </c>
      <c r="G333" s="1" t="s">
        <v>13</v>
      </c>
      <c r="H333" s="2">
        <v>44621</v>
      </c>
      <c r="I333" s="1">
        <v>0.47</v>
      </c>
      <c r="J333" s="1">
        <v>1.036</v>
      </c>
      <c r="K333" s="1">
        <v>5</v>
      </c>
      <c r="L333" s="1" t="s">
        <v>31</v>
      </c>
    </row>
    <row r="334" spans="1:12" x14ac:dyDescent="0.25">
      <c r="A334" s="1" t="s">
        <v>1318</v>
      </c>
      <c r="B334" s="1" t="str">
        <f>("125413")</f>
        <v>125413</v>
      </c>
      <c r="C334" s="1" t="str">
        <f>("622454462441")</f>
        <v>622454462441</v>
      </c>
      <c r="D334" s="1" t="s">
        <v>450</v>
      </c>
      <c r="E334" t="s">
        <v>451</v>
      </c>
      <c r="F334" s="3">
        <v>108.07</v>
      </c>
      <c r="G334" s="1" t="s">
        <v>13</v>
      </c>
      <c r="H334" s="2">
        <v>44621</v>
      </c>
      <c r="I334" s="1">
        <v>1.2290000000000001</v>
      </c>
      <c r="J334" s="1">
        <v>2.7090000000000001</v>
      </c>
      <c r="L334" s="1" t="s">
        <v>31</v>
      </c>
    </row>
    <row r="335" spans="1:12" x14ac:dyDescent="0.25">
      <c r="A335" s="1" t="s">
        <v>1318</v>
      </c>
      <c r="B335" s="1" t="str">
        <f>("125414")</f>
        <v>125414</v>
      </c>
      <c r="C335" s="1" t="str">
        <f>("622454462458")</f>
        <v>622454462458</v>
      </c>
      <c r="D335" s="1" t="s">
        <v>452</v>
      </c>
      <c r="E335" t="s">
        <v>453</v>
      </c>
      <c r="F335" s="3">
        <v>182.67</v>
      </c>
      <c r="G335" s="1" t="s">
        <v>13</v>
      </c>
      <c r="H335" s="2">
        <v>44621</v>
      </c>
      <c r="I335" s="1">
        <v>2.3519999999999999</v>
      </c>
      <c r="J335" s="1">
        <v>5.1849999999999996</v>
      </c>
      <c r="K335" s="1">
        <v>4</v>
      </c>
      <c r="L335" s="1" t="s">
        <v>31</v>
      </c>
    </row>
    <row r="336" spans="1:12" x14ac:dyDescent="0.25">
      <c r="A336" s="1" t="s">
        <v>1318</v>
      </c>
      <c r="B336" s="1" t="str">
        <f>("125415")</f>
        <v>125415</v>
      </c>
      <c r="C336" s="1" t="str">
        <f>("622454462465")</f>
        <v>622454462465</v>
      </c>
      <c r="D336" s="1" t="s">
        <v>454</v>
      </c>
      <c r="E336" t="s">
        <v>455</v>
      </c>
      <c r="F336" s="3">
        <v>275.64999999999998</v>
      </c>
      <c r="G336" s="1" t="s">
        <v>13</v>
      </c>
      <c r="H336" s="2">
        <v>44621</v>
      </c>
      <c r="I336" s="1">
        <v>4.1020000000000003</v>
      </c>
      <c r="J336" s="1">
        <v>9.0429999999999993</v>
      </c>
      <c r="L336" s="1" t="s">
        <v>31</v>
      </c>
    </row>
    <row r="337" spans="1:12" x14ac:dyDescent="0.25">
      <c r="A337" s="1" t="s">
        <v>1318</v>
      </c>
      <c r="B337" s="1" t="str">
        <f>("125416")</f>
        <v>125416</v>
      </c>
      <c r="C337" s="1" t="str">
        <f>("622454462472")</f>
        <v>622454462472</v>
      </c>
      <c r="D337" s="1" t="s">
        <v>456</v>
      </c>
      <c r="E337" t="s">
        <v>457</v>
      </c>
      <c r="F337" s="3">
        <v>436.03</v>
      </c>
      <c r="G337" s="1" t="s">
        <v>13</v>
      </c>
      <c r="H337" s="2">
        <v>44621</v>
      </c>
      <c r="I337" s="1">
        <v>6.5830000000000002</v>
      </c>
      <c r="J337" s="1">
        <v>14.513</v>
      </c>
      <c r="L337" s="1" t="s">
        <v>31</v>
      </c>
    </row>
    <row r="338" spans="1:12" x14ac:dyDescent="0.25">
      <c r="A338" s="1" t="s">
        <v>1318</v>
      </c>
      <c r="B338" s="1" t="str">
        <f>("125417")</f>
        <v>125417</v>
      </c>
      <c r="C338" s="1" t="str">
        <f>("622454462489")</f>
        <v>622454462489</v>
      </c>
      <c r="D338" s="1" t="s">
        <v>458</v>
      </c>
      <c r="E338" t="s">
        <v>459</v>
      </c>
      <c r="F338" s="3">
        <v>685.52</v>
      </c>
      <c r="G338" s="1" t="s">
        <v>13</v>
      </c>
      <c r="H338" s="2">
        <v>44621</v>
      </c>
      <c r="I338" s="1">
        <v>1E-3</v>
      </c>
      <c r="J338" s="1">
        <v>2E-3</v>
      </c>
      <c r="L338" s="1" t="s">
        <v>31</v>
      </c>
    </row>
    <row r="339" spans="1:12" x14ac:dyDescent="0.25">
      <c r="A339" s="1" t="s">
        <v>1318</v>
      </c>
      <c r="B339" s="1" t="str">
        <f>("125418")</f>
        <v>125418</v>
      </c>
      <c r="C339" s="1" t="str">
        <f>("622454462496")</f>
        <v>622454462496</v>
      </c>
      <c r="D339" s="1" t="s">
        <v>460</v>
      </c>
      <c r="E339" t="s">
        <v>461</v>
      </c>
      <c r="F339" s="3">
        <v>934.5</v>
      </c>
      <c r="G339" s="1" t="s">
        <v>13</v>
      </c>
      <c r="H339" s="2">
        <v>44621</v>
      </c>
      <c r="I339" s="1">
        <v>1E-3</v>
      </c>
      <c r="J339" s="1">
        <v>2E-3</v>
      </c>
      <c r="L339" s="1" t="s">
        <v>31</v>
      </c>
    </row>
    <row r="340" spans="1:12" x14ac:dyDescent="0.25">
      <c r="A340" s="1" t="s">
        <v>1318</v>
      </c>
      <c r="B340" s="1" t="str">
        <f>("125419")</f>
        <v>125419</v>
      </c>
      <c r="C340" s="1" t="str">
        <f>("622454462502")</f>
        <v>622454462502</v>
      </c>
      <c r="D340" s="1" t="s">
        <v>462</v>
      </c>
      <c r="E340" t="s">
        <v>463</v>
      </c>
      <c r="F340" s="3">
        <v>1122.27</v>
      </c>
      <c r="G340" s="1" t="s">
        <v>13</v>
      </c>
      <c r="H340" s="2">
        <v>44621</v>
      </c>
      <c r="I340" s="1">
        <v>1E-3</v>
      </c>
      <c r="J340" s="1">
        <v>2E-3</v>
      </c>
      <c r="L340" s="1" t="s">
        <v>31</v>
      </c>
    </row>
    <row r="341" spans="1:12" x14ac:dyDescent="0.25">
      <c r="A341" s="1" t="s">
        <v>1318</v>
      </c>
      <c r="B341" s="1" t="str">
        <f>("125420")</f>
        <v>125420</v>
      </c>
      <c r="C341" s="1" t="str">
        <f>("622454462519")</f>
        <v>622454462519</v>
      </c>
      <c r="D341" s="1" t="s">
        <v>464</v>
      </c>
      <c r="E341" t="s">
        <v>465</v>
      </c>
      <c r="F341" s="3">
        <v>1387.28</v>
      </c>
      <c r="G341" s="1" t="s">
        <v>13</v>
      </c>
      <c r="H341" s="2">
        <v>44621</v>
      </c>
      <c r="I341" s="1">
        <v>26.588999999999999</v>
      </c>
      <c r="J341" s="1">
        <v>58.619</v>
      </c>
      <c r="L341" s="1" t="s">
        <v>31</v>
      </c>
    </row>
    <row r="342" spans="1:12" x14ac:dyDescent="0.25">
      <c r="A342" s="1" t="s">
        <v>1318</v>
      </c>
      <c r="B342" s="1" t="str">
        <f>("125421")</f>
        <v>125421</v>
      </c>
      <c r="C342" s="1" t="str">
        <f>("622454462526")</f>
        <v>622454462526</v>
      </c>
      <c r="D342" s="1" t="s">
        <v>466</v>
      </c>
      <c r="E342" t="s">
        <v>467</v>
      </c>
      <c r="F342" s="3">
        <v>2763.19</v>
      </c>
      <c r="G342" s="1" t="s">
        <v>13</v>
      </c>
      <c r="H342" s="2">
        <v>44621</v>
      </c>
      <c r="I342" s="1">
        <v>1E-3</v>
      </c>
      <c r="J342" s="1">
        <v>2E-3</v>
      </c>
      <c r="L342" s="1" t="s">
        <v>31</v>
      </c>
    </row>
    <row r="343" spans="1:12" x14ac:dyDescent="0.25">
      <c r="A343" s="1" t="s">
        <v>1318</v>
      </c>
      <c r="B343" s="1" t="str">
        <f>("125394")</f>
        <v>125394</v>
      </c>
      <c r="C343" s="1" t="str">
        <f>("622454462250")</f>
        <v>622454462250</v>
      </c>
      <c r="D343" s="1" t="s">
        <v>468</v>
      </c>
      <c r="E343" t="s">
        <v>469</v>
      </c>
      <c r="F343" s="3">
        <v>108.07</v>
      </c>
      <c r="G343" s="1" t="s">
        <v>13</v>
      </c>
      <c r="H343" s="2">
        <v>44621</v>
      </c>
      <c r="I343" s="1">
        <v>1.4039999999999999</v>
      </c>
      <c r="J343" s="1">
        <v>3.0950000000000002</v>
      </c>
      <c r="K343" s="1">
        <v>8</v>
      </c>
      <c r="L343" s="1" t="s">
        <v>31</v>
      </c>
    </row>
    <row r="344" spans="1:12" x14ac:dyDescent="0.25">
      <c r="A344" s="1" t="s">
        <v>1318</v>
      </c>
      <c r="B344" s="1" t="str">
        <f>("125396")</f>
        <v>125396</v>
      </c>
      <c r="C344" s="1" t="str">
        <f>("622454462274")</f>
        <v>622454462274</v>
      </c>
      <c r="D344" s="1" t="s">
        <v>470</v>
      </c>
      <c r="E344" t="s">
        <v>471</v>
      </c>
      <c r="F344" s="3">
        <v>182.67</v>
      </c>
      <c r="G344" s="1" t="s">
        <v>13</v>
      </c>
      <c r="H344" s="2">
        <v>44621</v>
      </c>
      <c r="I344" s="1">
        <v>2.2280000000000002</v>
      </c>
      <c r="J344" s="1">
        <v>4.9119999999999999</v>
      </c>
      <c r="K344" s="1">
        <v>4</v>
      </c>
      <c r="L344" s="1" t="s">
        <v>31</v>
      </c>
    </row>
    <row r="345" spans="1:12" x14ac:dyDescent="0.25">
      <c r="A345" s="1" t="s">
        <v>1318</v>
      </c>
      <c r="B345" s="1" t="str">
        <f>("125398")</f>
        <v>125398</v>
      </c>
      <c r="C345" s="1" t="str">
        <f>("622454462298")</f>
        <v>622454462298</v>
      </c>
      <c r="D345" s="1" t="s">
        <v>472</v>
      </c>
      <c r="E345" t="s">
        <v>473</v>
      </c>
      <c r="F345" s="3">
        <v>275.64999999999998</v>
      </c>
      <c r="G345" s="1" t="s">
        <v>13</v>
      </c>
      <c r="H345" s="2">
        <v>44621</v>
      </c>
      <c r="I345" s="1">
        <v>4.1020000000000003</v>
      </c>
      <c r="J345" s="1">
        <v>9.0429999999999993</v>
      </c>
      <c r="L345" s="1" t="s">
        <v>31</v>
      </c>
    </row>
    <row r="346" spans="1:12" x14ac:dyDescent="0.25">
      <c r="A346" s="1" t="s">
        <v>1318</v>
      </c>
      <c r="B346" s="1" t="str">
        <f>("125400")</f>
        <v>125400</v>
      </c>
      <c r="C346" s="1" t="str">
        <f>("622454462311")</f>
        <v>622454462311</v>
      </c>
      <c r="D346" s="1" t="s">
        <v>474</v>
      </c>
      <c r="E346" t="s">
        <v>475</v>
      </c>
      <c r="F346" s="3">
        <v>436.03</v>
      </c>
      <c r="G346" s="1" t="s">
        <v>13</v>
      </c>
      <c r="H346" s="2">
        <v>44621</v>
      </c>
      <c r="I346" s="1">
        <v>6.6020000000000003</v>
      </c>
      <c r="J346" s="1">
        <v>14.555</v>
      </c>
      <c r="K346" s="1">
        <v>1</v>
      </c>
      <c r="L346" s="1" t="s">
        <v>31</v>
      </c>
    </row>
    <row r="347" spans="1:12" x14ac:dyDescent="0.25">
      <c r="A347" s="1" t="s">
        <v>1318</v>
      </c>
      <c r="B347" s="1" t="str">
        <f>("125402")</f>
        <v>125402</v>
      </c>
      <c r="C347" s="1" t="str">
        <f>("622454462335")</f>
        <v>622454462335</v>
      </c>
      <c r="D347" s="1" t="s">
        <v>476</v>
      </c>
      <c r="E347" t="s">
        <v>477</v>
      </c>
      <c r="F347" s="3">
        <v>685.52</v>
      </c>
      <c r="G347" s="1" t="s">
        <v>13</v>
      </c>
      <c r="H347" s="2">
        <v>44621</v>
      </c>
      <c r="I347" s="1">
        <v>7.6920000000000002</v>
      </c>
      <c r="J347" s="1">
        <v>16.957999999999998</v>
      </c>
      <c r="L347" s="1" t="s">
        <v>31</v>
      </c>
    </row>
    <row r="348" spans="1:12" x14ac:dyDescent="0.25">
      <c r="A348" s="1" t="s">
        <v>1318</v>
      </c>
      <c r="B348" s="1" t="str">
        <f>("125404")</f>
        <v>125404</v>
      </c>
      <c r="C348" s="1" t="str">
        <f>("622454462359")</f>
        <v>622454462359</v>
      </c>
      <c r="D348" s="1" t="s">
        <v>478</v>
      </c>
      <c r="E348" t="s">
        <v>479</v>
      </c>
      <c r="F348" s="3">
        <v>934.5</v>
      </c>
      <c r="G348" s="1" t="s">
        <v>13</v>
      </c>
      <c r="H348" s="2">
        <v>44621</v>
      </c>
      <c r="I348" s="1">
        <v>12.997</v>
      </c>
      <c r="J348" s="1">
        <v>28.652999999999999</v>
      </c>
      <c r="L348" s="1" t="s">
        <v>31</v>
      </c>
    </row>
    <row r="349" spans="1:12" x14ac:dyDescent="0.25">
      <c r="A349" s="1" t="s">
        <v>1318</v>
      </c>
      <c r="B349" s="1" t="str">
        <f>("125406")</f>
        <v>125406</v>
      </c>
      <c r="C349" s="1" t="str">
        <f>("622454462373")</f>
        <v>622454462373</v>
      </c>
      <c r="D349" s="1" t="s">
        <v>480</v>
      </c>
      <c r="E349" t="s">
        <v>481</v>
      </c>
      <c r="F349" s="3">
        <v>1122.27</v>
      </c>
      <c r="G349" s="1" t="s">
        <v>13</v>
      </c>
      <c r="H349" s="2">
        <v>44621</v>
      </c>
      <c r="I349" s="1">
        <v>18.154</v>
      </c>
      <c r="J349" s="1">
        <v>40.023000000000003</v>
      </c>
      <c r="L349" s="1" t="s">
        <v>31</v>
      </c>
    </row>
    <row r="350" spans="1:12" x14ac:dyDescent="0.25">
      <c r="A350" s="1" t="s">
        <v>1318</v>
      </c>
      <c r="B350" s="1" t="str">
        <f>("125407")</f>
        <v>125407</v>
      </c>
      <c r="C350" s="1" t="str">
        <f>("622454462380")</f>
        <v>622454462380</v>
      </c>
      <c r="D350" s="1" t="s">
        <v>482</v>
      </c>
      <c r="E350" t="s">
        <v>483</v>
      </c>
      <c r="F350" s="3">
        <v>1387.28</v>
      </c>
      <c r="G350" s="1" t="s">
        <v>13</v>
      </c>
      <c r="H350" s="2">
        <v>44621</v>
      </c>
      <c r="I350" s="1">
        <v>23.632000000000001</v>
      </c>
      <c r="J350" s="1">
        <v>52.1</v>
      </c>
      <c r="L350" s="1" t="s">
        <v>31</v>
      </c>
    </row>
    <row r="351" spans="1:12" x14ac:dyDescent="0.25">
      <c r="A351" s="1" t="s">
        <v>1318</v>
      </c>
      <c r="B351" s="1" t="str">
        <f>("125408")</f>
        <v>125408</v>
      </c>
      <c r="C351" s="1" t="str">
        <f>("622454462397")</f>
        <v>622454462397</v>
      </c>
      <c r="D351" s="1" t="s">
        <v>484</v>
      </c>
      <c r="E351" t="s">
        <v>485</v>
      </c>
      <c r="F351" s="3">
        <v>2763.19</v>
      </c>
      <c r="G351" s="1" t="s">
        <v>13</v>
      </c>
      <c r="H351" s="2">
        <v>44621</v>
      </c>
      <c r="I351" s="1">
        <v>42.295999999999999</v>
      </c>
      <c r="J351" s="1">
        <v>93.247</v>
      </c>
      <c r="L351" s="1" t="s">
        <v>31</v>
      </c>
    </row>
    <row r="352" spans="1:12" x14ac:dyDescent="0.25">
      <c r="A352" s="1" t="s">
        <v>1318</v>
      </c>
      <c r="B352" s="1" t="str">
        <f>("035596")</f>
        <v>035596</v>
      </c>
      <c r="C352" s="1" t="str">
        <f>("622454355965")</f>
        <v>622454355965</v>
      </c>
      <c r="D352" s="1">
        <v>474005</v>
      </c>
      <c r="E352" t="s">
        <v>486</v>
      </c>
      <c r="F352" s="3">
        <v>4.8723404255319149</v>
      </c>
      <c r="G352" s="1" t="s">
        <v>13</v>
      </c>
      <c r="H352" s="2">
        <v>44621</v>
      </c>
      <c r="I352" s="1">
        <v>1.4E-2</v>
      </c>
      <c r="J352" s="1">
        <v>3.1E-2</v>
      </c>
      <c r="K352" s="1">
        <v>50</v>
      </c>
      <c r="L352" s="1" t="s">
        <v>14</v>
      </c>
    </row>
    <row r="353" spans="1:12" x14ac:dyDescent="0.25">
      <c r="A353" s="1" t="s">
        <v>1318</v>
      </c>
      <c r="B353" s="1" t="str">
        <f>("035597")</f>
        <v>035597</v>
      </c>
      <c r="C353" s="1" t="str">
        <f>("622454355972")</f>
        <v>622454355972</v>
      </c>
      <c r="D353" s="1">
        <v>474007</v>
      </c>
      <c r="E353" t="s">
        <v>487</v>
      </c>
      <c r="F353" s="3">
        <v>5.8510638297872344</v>
      </c>
      <c r="G353" s="1" t="s">
        <v>13</v>
      </c>
      <c r="H353" s="2">
        <v>44621</v>
      </c>
      <c r="I353" s="1">
        <v>1.7999999999999999E-2</v>
      </c>
      <c r="J353" s="1">
        <v>0.04</v>
      </c>
      <c r="K353" s="1">
        <v>50</v>
      </c>
      <c r="L353" s="1" t="s">
        <v>14</v>
      </c>
    </row>
    <row r="354" spans="1:12" x14ac:dyDescent="0.25">
      <c r="A354" s="1" t="s">
        <v>1318</v>
      </c>
      <c r="B354" s="1" t="str">
        <f>("035598")</f>
        <v>035598</v>
      </c>
      <c r="C354" s="1" t="str">
        <f>("622454355989")</f>
        <v>622454355989</v>
      </c>
      <c r="D354" s="1">
        <v>474010</v>
      </c>
      <c r="E354" t="s">
        <v>488</v>
      </c>
      <c r="F354" s="3">
        <v>6.1702127659574471</v>
      </c>
      <c r="G354" s="1" t="s">
        <v>13</v>
      </c>
      <c r="H354" s="2">
        <v>44621</v>
      </c>
      <c r="I354" s="1">
        <v>3.2000000000000001E-2</v>
      </c>
      <c r="J354" s="1">
        <v>7.0999999999999994E-2</v>
      </c>
      <c r="K354" s="1">
        <v>50</v>
      </c>
      <c r="L354" s="1" t="s">
        <v>14</v>
      </c>
    </row>
    <row r="355" spans="1:12" x14ac:dyDescent="0.25">
      <c r="A355" s="1" t="s">
        <v>1318</v>
      </c>
      <c r="B355" s="1" t="str">
        <f>("035599")</f>
        <v>035599</v>
      </c>
      <c r="C355" s="1" t="str">
        <f>("622454355996")</f>
        <v>622454355996</v>
      </c>
      <c r="D355" s="1">
        <v>474012</v>
      </c>
      <c r="E355" t="s">
        <v>489</v>
      </c>
      <c r="F355" s="3">
        <v>9.8191489361702136</v>
      </c>
      <c r="G355" s="1" t="s">
        <v>13</v>
      </c>
      <c r="H355" s="2">
        <v>44621</v>
      </c>
      <c r="I355" s="1">
        <v>4.4999999999999998E-2</v>
      </c>
      <c r="J355" s="1">
        <v>9.9000000000000005E-2</v>
      </c>
      <c r="K355" s="1">
        <v>25</v>
      </c>
      <c r="L355" s="1" t="s">
        <v>14</v>
      </c>
    </row>
    <row r="356" spans="1:12" x14ac:dyDescent="0.25">
      <c r="A356" s="1" t="s">
        <v>1318</v>
      </c>
      <c r="B356" s="1" t="str">
        <f>("035600")</f>
        <v>035600</v>
      </c>
      <c r="C356" s="1" t="str">
        <f>("622454356009")</f>
        <v>622454356009</v>
      </c>
      <c r="D356" s="1">
        <v>474015</v>
      </c>
      <c r="E356" t="s">
        <v>490</v>
      </c>
      <c r="F356" s="3">
        <v>10.914893617021278</v>
      </c>
      <c r="G356" s="1" t="s">
        <v>13</v>
      </c>
      <c r="H356" s="2">
        <v>44621</v>
      </c>
      <c r="I356" s="1">
        <v>5.8999999999999997E-2</v>
      </c>
      <c r="J356" s="1">
        <v>0.13</v>
      </c>
      <c r="K356" s="1">
        <v>25</v>
      </c>
      <c r="L356" s="1" t="s">
        <v>14</v>
      </c>
    </row>
    <row r="357" spans="1:12" x14ac:dyDescent="0.25">
      <c r="A357" s="1" t="s">
        <v>1318</v>
      </c>
      <c r="B357" s="1" t="str">
        <f>("035601")</f>
        <v>035601</v>
      </c>
      <c r="C357" s="1" t="str">
        <f>("622454356016")</f>
        <v>622454356016</v>
      </c>
      <c r="D357" s="1">
        <v>474020</v>
      </c>
      <c r="E357" t="s">
        <v>491</v>
      </c>
      <c r="F357" s="3">
        <v>20.170212765957448</v>
      </c>
      <c r="G357" s="1" t="s">
        <v>13</v>
      </c>
      <c r="H357" s="2">
        <v>44621</v>
      </c>
      <c r="I357" s="1">
        <v>8.2000000000000003E-2</v>
      </c>
      <c r="J357" s="1">
        <v>0.18099999999999999</v>
      </c>
      <c r="K357" s="1">
        <v>25</v>
      </c>
      <c r="L357" s="1" t="s">
        <v>14</v>
      </c>
    </row>
    <row r="358" spans="1:12" x14ac:dyDescent="0.25">
      <c r="A358" s="1" t="s">
        <v>1318</v>
      </c>
      <c r="B358" s="1" t="str">
        <f>("235037")</f>
        <v>235037</v>
      </c>
      <c r="C358" s="1" t="str">
        <f>("622454010567")</f>
        <v>622454010567</v>
      </c>
      <c r="D358" s="1">
        <v>474030</v>
      </c>
      <c r="E358" t="s">
        <v>492</v>
      </c>
      <c r="F358" s="3">
        <v>60.148936170212771</v>
      </c>
      <c r="G358" s="1" t="s">
        <v>13</v>
      </c>
      <c r="H358" s="2">
        <v>44621</v>
      </c>
      <c r="I358" s="1">
        <v>0.23</v>
      </c>
      <c r="J358" s="1">
        <v>0.50700000000000001</v>
      </c>
      <c r="K358" s="1">
        <v>15</v>
      </c>
      <c r="L358" s="1" t="s">
        <v>14</v>
      </c>
    </row>
    <row r="359" spans="1:12" x14ac:dyDescent="0.25">
      <c r="A359" s="1" t="s">
        <v>1318</v>
      </c>
      <c r="B359" s="1" t="str">
        <f>("235038")</f>
        <v>235038</v>
      </c>
      <c r="C359" s="1" t="str">
        <f>("622454010536")</f>
        <v>622454010536</v>
      </c>
      <c r="D359" s="1">
        <v>474040</v>
      </c>
      <c r="E359" t="s">
        <v>493</v>
      </c>
      <c r="F359" s="3">
        <v>68.776595744680861</v>
      </c>
      <c r="G359" s="1" t="s">
        <v>13</v>
      </c>
      <c r="H359" s="2">
        <v>44621</v>
      </c>
      <c r="I359" s="1">
        <v>0.36</v>
      </c>
      <c r="J359" s="1">
        <v>0.79400000000000004</v>
      </c>
      <c r="K359" s="1">
        <v>15</v>
      </c>
      <c r="L359" s="1" t="s">
        <v>14</v>
      </c>
    </row>
    <row r="360" spans="1:12" x14ac:dyDescent="0.25">
      <c r="A360" s="1" t="s">
        <v>1318</v>
      </c>
      <c r="B360" s="1" t="str">
        <f>("035157")</f>
        <v>035157</v>
      </c>
      <c r="C360" s="1" t="str">
        <f>("622454351578")</f>
        <v>622454351578</v>
      </c>
      <c r="D360" s="1">
        <v>1436005</v>
      </c>
      <c r="E360" t="s">
        <v>494</v>
      </c>
      <c r="F360" s="3">
        <v>3.0531914893617023</v>
      </c>
      <c r="G360" s="1" t="s">
        <v>13</v>
      </c>
      <c r="H360" s="2">
        <v>44621</v>
      </c>
      <c r="I360" s="1">
        <v>6.0000000000000001E-3</v>
      </c>
      <c r="J360" s="1">
        <v>1.2999999999999999E-2</v>
      </c>
      <c r="K360" s="1">
        <v>50</v>
      </c>
      <c r="L360" s="1" t="s">
        <v>495</v>
      </c>
    </row>
    <row r="361" spans="1:12" x14ac:dyDescent="0.25">
      <c r="A361" s="1" t="s">
        <v>1318</v>
      </c>
      <c r="B361" s="1" t="str">
        <f>("035158")</f>
        <v>035158</v>
      </c>
      <c r="C361" s="1" t="str">
        <f>("622454351585")</f>
        <v>622454351585</v>
      </c>
      <c r="D361" s="1">
        <v>1436007</v>
      </c>
      <c r="E361" t="s">
        <v>496</v>
      </c>
      <c r="F361" s="3">
        <v>3.8297872340425534</v>
      </c>
      <c r="G361" s="1" t="s">
        <v>13</v>
      </c>
      <c r="H361" s="2">
        <v>44621</v>
      </c>
      <c r="I361" s="1">
        <v>1.7999999999999999E-2</v>
      </c>
      <c r="J361" s="1">
        <v>0.04</v>
      </c>
      <c r="K361" s="1">
        <v>50</v>
      </c>
      <c r="L361" s="1" t="s">
        <v>495</v>
      </c>
    </row>
    <row r="362" spans="1:12" x14ac:dyDescent="0.25">
      <c r="A362" s="1" t="s">
        <v>1318</v>
      </c>
      <c r="B362" s="1" t="str">
        <f>("035159")</f>
        <v>035159</v>
      </c>
      <c r="C362" s="1" t="str">
        <f>("622454351592")</f>
        <v>622454351592</v>
      </c>
      <c r="D362" s="1">
        <v>1436010</v>
      </c>
      <c r="E362" t="s">
        <v>497</v>
      </c>
      <c r="F362" s="3">
        <v>3.9468085106382982</v>
      </c>
      <c r="G362" s="1" t="s">
        <v>13</v>
      </c>
      <c r="H362" s="2">
        <v>44621</v>
      </c>
      <c r="I362" s="1">
        <v>3.1E-2</v>
      </c>
      <c r="J362" s="1">
        <v>6.8000000000000005E-2</v>
      </c>
      <c r="K362" s="1">
        <v>50</v>
      </c>
      <c r="L362" s="1" t="s">
        <v>495</v>
      </c>
    </row>
    <row r="363" spans="1:12" x14ac:dyDescent="0.25">
      <c r="A363" s="1" t="s">
        <v>1318</v>
      </c>
      <c r="B363" s="1" t="str">
        <f>("035160")</f>
        <v>035160</v>
      </c>
      <c r="C363" s="1" t="str">
        <f>("622454351608")</f>
        <v>622454351608</v>
      </c>
      <c r="D363" s="1">
        <v>1436012</v>
      </c>
      <c r="E363" t="s">
        <v>498</v>
      </c>
      <c r="F363" s="3">
        <v>6.1489361702127665</v>
      </c>
      <c r="G363" s="1" t="s">
        <v>13</v>
      </c>
      <c r="H363" s="2">
        <v>44621</v>
      </c>
      <c r="I363" s="1">
        <v>4.3999999999999997E-2</v>
      </c>
      <c r="J363" s="1">
        <v>9.7000000000000003E-2</v>
      </c>
      <c r="K363" s="1">
        <v>20</v>
      </c>
      <c r="L363" s="1" t="s">
        <v>495</v>
      </c>
    </row>
    <row r="364" spans="1:12" x14ac:dyDescent="0.25">
      <c r="A364" s="1" t="s">
        <v>1318</v>
      </c>
      <c r="B364" s="1" t="str">
        <f>("035161")</f>
        <v>035161</v>
      </c>
      <c r="C364" s="1" t="str">
        <f>("622454351615")</f>
        <v>622454351615</v>
      </c>
      <c r="D364" s="1">
        <v>1436015</v>
      </c>
      <c r="E364" t="s">
        <v>499</v>
      </c>
      <c r="F364" s="3">
        <v>6.9148936170212769</v>
      </c>
      <c r="G364" s="1" t="s">
        <v>13</v>
      </c>
      <c r="H364" s="2">
        <v>44621</v>
      </c>
      <c r="I364" s="1">
        <v>5.8000000000000003E-2</v>
      </c>
      <c r="J364" s="1">
        <v>0.128</v>
      </c>
      <c r="K364" s="1">
        <v>25</v>
      </c>
      <c r="L364" s="1" t="s">
        <v>495</v>
      </c>
    </row>
    <row r="365" spans="1:12" x14ac:dyDescent="0.25">
      <c r="A365" s="1" t="s">
        <v>1318</v>
      </c>
      <c r="B365" s="1" t="str">
        <f>("035162")</f>
        <v>035162</v>
      </c>
      <c r="C365" s="1" t="str">
        <f>("622454351622")</f>
        <v>622454351622</v>
      </c>
      <c r="D365" s="1">
        <v>1436020</v>
      </c>
      <c r="E365" t="s">
        <v>500</v>
      </c>
      <c r="F365" s="3">
        <v>13.042553191489363</v>
      </c>
      <c r="G365" s="1" t="s">
        <v>13</v>
      </c>
      <c r="H365" s="2">
        <v>44621</v>
      </c>
      <c r="I365" s="1">
        <v>8.6999999999999994E-2</v>
      </c>
      <c r="J365" s="1">
        <v>0.192</v>
      </c>
      <c r="K365" s="1">
        <v>10</v>
      </c>
      <c r="L365" s="1" t="s">
        <v>495</v>
      </c>
    </row>
    <row r="366" spans="1:12" x14ac:dyDescent="0.25">
      <c r="A366" s="1" t="s">
        <v>1318</v>
      </c>
      <c r="B366" s="1" t="str">
        <f>("035163")</f>
        <v>035163</v>
      </c>
      <c r="C366" s="1" t="str">
        <f>("622454351639")</f>
        <v>622454351639</v>
      </c>
      <c r="D366" s="1">
        <v>1436025</v>
      </c>
      <c r="E366" t="s">
        <v>501</v>
      </c>
      <c r="F366" s="3">
        <v>53.446808510638306</v>
      </c>
      <c r="G366" s="1" t="s">
        <v>13</v>
      </c>
      <c r="H366" s="2">
        <v>44621</v>
      </c>
      <c r="I366" s="1">
        <v>0.154</v>
      </c>
      <c r="J366" s="1">
        <v>0.34</v>
      </c>
      <c r="K366" s="1">
        <v>10</v>
      </c>
      <c r="L366" s="1" t="s">
        <v>495</v>
      </c>
    </row>
    <row r="367" spans="1:12" x14ac:dyDescent="0.25">
      <c r="A367" s="1" t="s">
        <v>1318</v>
      </c>
      <c r="B367" s="1" t="str">
        <f>("035164")</f>
        <v>035164</v>
      </c>
      <c r="C367" s="1" t="str">
        <f>("622454351646")</f>
        <v>622454351646</v>
      </c>
      <c r="D367" s="1">
        <v>1436030</v>
      </c>
      <c r="E367" t="s">
        <v>502</v>
      </c>
      <c r="F367" s="3">
        <v>61.606382978723403</v>
      </c>
      <c r="G367" s="1" t="s">
        <v>13</v>
      </c>
      <c r="H367" s="2">
        <v>44621</v>
      </c>
      <c r="I367" s="1">
        <v>0.20899999999999999</v>
      </c>
      <c r="J367" s="1">
        <v>0.46100000000000002</v>
      </c>
      <c r="K367" s="1">
        <v>10</v>
      </c>
      <c r="L367" s="1" t="s">
        <v>495</v>
      </c>
    </row>
    <row r="368" spans="1:12" x14ac:dyDescent="0.25">
      <c r="A368" s="1" t="s">
        <v>1318</v>
      </c>
      <c r="B368" s="1" t="str">
        <f>("035165")</f>
        <v>035165</v>
      </c>
      <c r="C368" s="1" t="str">
        <f>("622454351653")</f>
        <v>622454351653</v>
      </c>
      <c r="D368" s="1">
        <v>1436040</v>
      </c>
      <c r="E368" t="s">
        <v>503</v>
      </c>
      <c r="F368" s="3">
        <v>85.659574468085111</v>
      </c>
      <c r="G368" s="1" t="s">
        <v>13</v>
      </c>
      <c r="H368" s="2">
        <v>44621</v>
      </c>
      <c r="I368" s="1">
        <v>0.34</v>
      </c>
      <c r="J368" s="1">
        <v>0.75</v>
      </c>
      <c r="K368" s="1">
        <v>10</v>
      </c>
      <c r="L368" s="1" t="s">
        <v>495</v>
      </c>
    </row>
    <row r="369" spans="1:12" x14ac:dyDescent="0.25">
      <c r="A369" s="1" t="s">
        <v>1318</v>
      </c>
      <c r="B369" s="1" t="str">
        <f>("035469")</f>
        <v>035469</v>
      </c>
      <c r="C369" s="1" t="str">
        <f>("622454354692")</f>
        <v>622454354692</v>
      </c>
      <c r="D369" s="1">
        <v>420005</v>
      </c>
      <c r="E369" t="s">
        <v>504</v>
      </c>
      <c r="F369" s="3">
        <v>5.8085106382978724</v>
      </c>
      <c r="G369" s="1" t="s">
        <v>13</v>
      </c>
      <c r="H369" s="2">
        <v>44621</v>
      </c>
      <c r="I369" s="1">
        <v>4.3999999999999997E-2</v>
      </c>
      <c r="J369" s="1">
        <v>9.7000000000000003E-2</v>
      </c>
      <c r="K369" s="1">
        <v>50</v>
      </c>
      <c r="L369" s="1" t="s">
        <v>14</v>
      </c>
    </row>
    <row r="370" spans="1:12" x14ac:dyDescent="0.25">
      <c r="A370" s="1" t="s">
        <v>1318</v>
      </c>
      <c r="B370" s="1" t="str">
        <f>("035470")</f>
        <v>035470</v>
      </c>
      <c r="C370" s="1" t="str">
        <f>("622454354708")</f>
        <v>622454354708</v>
      </c>
      <c r="D370" s="1">
        <v>420007</v>
      </c>
      <c r="E370" t="s">
        <v>505</v>
      </c>
      <c r="F370" s="3">
        <v>9.6595744680851077</v>
      </c>
      <c r="G370" s="1" t="s">
        <v>13</v>
      </c>
      <c r="H370" s="2">
        <v>44621</v>
      </c>
      <c r="I370" s="1">
        <v>6.0999999999999999E-2</v>
      </c>
      <c r="J370" s="1">
        <v>0.13400000000000001</v>
      </c>
      <c r="K370" s="1">
        <v>30</v>
      </c>
      <c r="L370" s="1" t="s">
        <v>14</v>
      </c>
    </row>
    <row r="371" spans="1:12" x14ac:dyDescent="0.25">
      <c r="A371" s="1" t="s">
        <v>1318</v>
      </c>
      <c r="B371" s="1" t="str">
        <f>("035471")</f>
        <v>035471</v>
      </c>
      <c r="C371" s="1" t="str">
        <f>("622454354715")</f>
        <v>622454354715</v>
      </c>
      <c r="D371" s="1">
        <v>420010</v>
      </c>
      <c r="E371" t="s">
        <v>506</v>
      </c>
      <c r="F371" s="3">
        <v>12.021276595744682</v>
      </c>
      <c r="G371" s="1" t="s">
        <v>13</v>
      </c>
      <c r="H371" s="2">
        <v>44621</v>
      </c>
      <c r="I371" s="1">
        <v>0.113</v>
      </c>
      <c r="J371" s="1">
        <v>0.249</v>
      </c>
      <c r="K371" s="1">
        <v>15</v>
      </c>
      <c r="L371" s="1" t="s">
        <v>14</v>
      </c>
    </row>
    <row r="372" spans="1:12" x14ac:dyDescent="0.25">
      <c r="A372" s="1" t="s">
        <v>1318</v>
      </c>
      <c r="B372" s="1" t="str">
        <f>("035472")</f>
        <v>035472</v>
      </c>
      <c r="C372" s="1" t="str">
        <f>("622454354722")</f>
        <v>622454354722</v>
      </c>
      <c r="D372" s="1">
        <v>420012</v>
      </c>
      <c r="E372" t="s">
        <v>507</v>
      </c>
      <c r="F372" s="3">
        <v>15.872340425531915</v>
      </c>
      <c r="G372" s="1" t="s">
        <v>13</v>
      </c>
      <c r="H372" s="2">
        <v>44621</v>
      </c>
      <c r="I372" s="1">
        <v>0.16400000000000001</v>
      </c>
      <c r="J372" s="1">
        <v>0.36199999999999999</v>
      </c>
      <c r="K372" s="1">
        <v>10</v>
      </c>
      <c r="L372" s="1" t="s">
        <v>14</v>
      </c>
    </row>
    <row r="373" spans="1:12" x14ac:dyDescent="0.25">
      <c r="A373" s="1" t="s">
        <v>1318</v>
      </c>
      <c r="B373" s="1" t="str">
        <f>("035473")</f>
        <v>035473</v>
      </c>
      <c r="C373" s="1" t="str">
        <f>("622454354739")</f>
        <v>622454354739</v>
      </c>
      <c r="D373" s="1">
        <v>420015</v>
      </c>
      <c r="E373" t="s">
        <v>508</v>
      </c>
      <c r="F373" s="3">
        <v>18.01063829787234</v>
      </c>
      <c r="G373" s="1" t="s">
        <v>13</v>
      </c>
      <c r="H373" s="2">
        <v>44621</v>
      </c>
      <c r="I373" s="1">
        <v>0.218</v>
      </c>
      <c r="J373" s="1">
        <v>0.48099999999999998</v>
      </c>
      <c r="K373" s="1">
        <v>8</v>
      </c>
      <c r="L373" s="1" t="s">
        <v>14</v>
      </c>
    </row>
    <row r="374" spans="1:12" x14ac:dyDescent="0.25">
      <c r="A374" s="1" t="s">
        <v>1318</v>
      </c>
      <c r="B374" s="1" t="str">
        <f>("035474")</f>
        <v>035474</v>
      </c>
      <c r="C374" s="1" t="str">
        <f>("622454354746")</f>
        <v>622454354746</v>
      </c>
      <c r="D374" s="1">
        <v>420020</v>
      </c>
      <c r="E374" t="s">
        <v>509</v>
      </c>
      <c r="F374" s="3">
        <v>26.531914893617024</v>
      </c>
      <c r="G374" s="1" t="s">
        <v>13</v>
      </c>
      <c r="H374" s="2">
        <v>44621</v>
      </c>
      <c r="I374" s="1">
        <v>0.32600000000000001</v>
      </c>
      <c r="J374" s="1">
        <v>0.71899999999999997</v>
      </c>
      <c r="K374" s="1">
        <v>4</v>
      </c>
      <c r="L374" s="1" t="s">
        <v>14</v>
      </c>
    </row>
    <row r="375" spans="1:12" x14ac:dyDescent="0.25">
      <c r="A375" s="1" t="s">
        <v>1318</v>
      </c>
      <c r="B375" s="1" t="str">
        <f>("035475")</f>
        <v>035475</v>
      </c>
      <c r="C375" s="1" t="str">
        <f>("622454354753")</f>
        <v>622454354753</v>
      </c>
      <c r="D375" s="1">
        <v>420025</v>
      </c>
      <c r="E375" t="s">
        <v>510</v>
      </c>
      <c r="F375" s="3">
        <v>56.308510638297875</v>
      </c>
      <c r="G375" s="1" t="s">
        <v>13</v>
      </c>
      <c r="H375" s="2">
        <v>44621</v>
      </c>
      <c r="I375" s="1">
        <v>0.58199999999999996</v>
      </c>
      <c r="J375" s="1">
        <v>1.2829999999999999</v>
      </c>
      <c r="K375" s="1">
        <v>4</v>
      </c>
      <c r="L375" s="1" t="s">
        <v>14</v>
      </c>
    </row>
    <row r="376" spans="1:12" x14ac:dyDescent="0.25">
      <c r="A376" s="1" t="s">
        <v>1318</v>
      </c>
      <c r="B376" s="1" t="str">
        <f>("035476")</f>
        <v>035476</v>
      </c>
      <c r="C376" s="1" t="str">
        <f>("622454354760")</f>
        <v>622454354760</v>
      </c>
      <c r="D376" s="1">
        <v>420030</v>
      </c>
      <c r="E376" t="s">
        <v>511</v>
      </c>
      <c r="F376" s="3">
        <v>69.09574468085107</v>
      </c>
      <c r="G376" s="1" t="s">
        <v>13</v>
      </c>
      <c r="H376" s="2">
        <v>44621</v>
      </c>
      <c r="I376" s="1">
        <v>0.88700000000000001</v>
      </c>
      <c r="J376" s="1">
        <v>1.9550000000000001</v>
      </c>
      <c r="K376" s="1">
        <v>6</v>
      </c>
      <c r="L376" s="1" t="s">
        <v>14</v>
      </c>
    </row>
    <row r="377" spans="1:12" x14ac:dyDescent="0.25">
      <c r="A377" s="1" t="s">
        <v>1318</v>
      </c>
      <c r="B377" s="1" t="str">
        <f>("035477")</f>
        <v>035477</v>
      </c>
      <c r="C377" s="1" t="str">
        <f>("622454354777")</f>
        <v>622454354777</v>
      </c>
      <c r="D377" s="1">
        <v>420040</v>
      </c>
      <c r="E377" t="s">
        <v>512</v>
      </c>
      <c r="F377" s="3">
        <v>102.35106382978724</v>
      </c>
      <c r="G377" s="1" t="s">
        <v>13</v>
      </c>
      <c r="H377" s="2">
        <v>44621</v>
      </c>
      <c r="I377" s="1">
        <v>1.4059999999999999</v>
      </c>
      <c r="J377" s="1">
        <v>3.1</v>
      </c>
      <c r="K377" s="1">
        <v>4</v>
      </c>
      <c r="L377" s="1" t="s">
        <v>14</v>
      </c>
    </row>
    <row r="378" spans="1:12" x14ac:dyDescent="0.25">
      <c r="A378" s="1" t="s">
        <v>1318</v>
      </c>
      <c r="B378" s="1" t="str">
        <f>("125295")</f>
        <v>125295</v>
      </c>
      <c r="C378" s="1" t="str">
        <f>("622454461260")</f>
        <v>622454461260</v>
      </c>
      <c r="D378" s="1" t="s">
        <v>513</v>
      </c>
      <c r="E378" t="s">
        <v>514</v>
      </c>
      <c r="F378" s="3">
        <v>996.84</v>
      </c>
      <c r="G378" s="1" t="s">
        <v>13</v>
      </c>
      <c r="H378" s="2">
        <v>44621</v>
      </c>
      <c r="I378" s="1">
        <v>6.4939999999999998</v>
      </c>
      <c r="J378" s="1">
        <v>14.317</v>
      </c>
      <c r="L378" s="1" t="s">
        <v>31</v>
      </c>
    </row>
    <row r="379" spans="1:12" x14ac:dyDescent="0.25">
      <c r="A379" s="1" t="s">
        <v>1318</v>
      </c>
      <c r="B379" s="1" t="str">
        <f>("125297")</f>
        <v>125297</v>
      </c>
      <c r="C379" s="1" t="str">
        <f>("622454461284")</f>
        <v>622454461284</v>
      </c>
      <c r="D379" s="1" t="s">
        <v>515</v>
      </c>
      <c r="E379" t="s">
        <v>516</v>
      </c>
      <c r="F379" s="3">
        <v>1284.03</v>
      </c>
      <c r="G379" s="1" t="s">
        <v>13</v>
      </c>
      <c r="H379" s="2">
        <v>44621</v>
      </c>
      <c r="I379" s="1">
        <v>11.116</v>
      </c>
      <c r="J379" s="1">
        <v>24.507000000000001</v>
      </c>
      <c r="L379" s="1" t="s">
        <v>31</v>
      </c>
    </row>
    <row r="380" spans="1:12" x14ac:dyDescent="0.25">
      <c r="A380" s="1" t="s">
        <v>1318</v>
      </c>
      <c r="B380" s="1" t="str">
        <f>("125299")</f>
        <v>125299</v>
      </c>
      <c r="C380" s="1" t="str">
        <f>("622454461307")</f>
        <v>622454461307</v>
      </c>
      <c r="D380" s="1" t="s">
        <v>517</v>
      </c>
      <c r="E380" t="s">
        <v>518</v>
      </c>
      <c r="F380" s="3">
        <v>1554.06</v>
      </c>
      <c r="G380" s="1" t="s">
        <v>13</v>
      </c>
      <c r="H380" s="2">
        <v>44621</v>
      </c>
      <c r="I380" s="1">
        <v>17.440000000000001</v>
      </c>
      <c r="J380" s="1">
        <v>38.448999999999998</v>
      </c>
      <c r="L380" s="1" t="s">
        <v>31</v>
      </c>
    </row>
    <row r="381" spans="1:12" x14ac:dyDescent="0.25">
      <c r="A381" s="1" t="s">
        <v>1318</v>
      </c>
      <c r="B381" s="1" t="str">
        <f>("125301")</f>
        <v>125301</v>
      </c>
      <c r="C381" s="1" t="str">
        <f>("622454461321")</f>
        <v>622454461321</v>
      </c>
      <c r="D381" s="1" t="s">
        <v>519</v>
      </c>
      <c r="E381" t="s">
        <v>520</v>
      </c>
      <c r="F381" s="3">
        <v>2190.1</v>
      </c>
      <c r="G381" s="1" t="s">
        <v>13</v>
      </c>
      <c r="H381" s="2">
        <v>44621</v>
      </c>
      <c r="I381" s="1">
        <v>30.715</v>
      </c>
      <c r="J381" s="1">
        <v>67.715000000000003</v>
      </c>
      <c r="L381" s="1" t="s">
        <v>31</v>
      </c>
    </row>
    <row r="382" spans="1:12" x14ac:dyDescent="0.25">
      <c r="A382" s="1" t="s">
        <v>1318</v>
      </c>
      <c r="B382" s="1" t="str">
        <f>("125303")</f>
        <v>125303</v>
      </c>
      <c r="C382" s="1" t="str">
        <f>("622454461345")</f>
        <v>622454461345</v>
      </c>
      <c r="D382" s="1" t="s">
        <v>521</v>
      </c>
      <c r="E382" t="s">
        <v>522</v>
      </c>
      <c r="F382" s="3">
        <v>3894.34</v>
      </c>
      <c r="G382" s="1" t="s">
        <v>13</v>
      </c>
      <c r="H382" s="2">
        <v>44621</v>
      </c>
      <c r="I382" s="1">
        <v>36.448999999999998</v>
      </c>
      <c r="J382" s="1">
        <v>80.355999999999995</v>
      </c>
      <c r="L382" s="1" t="s">
        <v>31</v>
      </c>
    </row>
    <row r="383" spans="1:12" x14ac:dyDescent="0.25">
      <c r="A383" s="1" t="s">
        <v>1318</v>
      </c>
      <c r="B383" s="1" t="str">
        <f>("125305")</f>
        <v>125305</v>
      </c>
      <c r="C383" s="1" t="str">
        <f>("622454461369")</f>
        <v>622454461369</v>
      </c>
      <c r="D383" s="1" t="s">
        <v>523</v>
      </c>
      <c r="E383" t="s">
        <v>524</v>
      </c>
      <c r="F383" s="3">
        <v>4936.99</v>
      </c>
      <c r="G383" s="1" t="s">
        <v>13</v>
      </c>
      <c r="H383" s="2">
        <v>44621</v>
      </c>
      <c r="I383" s="1">
        <v>71.489999999999995</v>
      </c>
      <c r="J383" s="1">
        <v>157.608</v>
      </c>
      <c r="L383" s="1" t="s">
        <v>31</v>
      </c>
    </row>
    <row r="384" spans="1:12" x14ac:dyDescent="0.25">
      <c r="A384" s="1" t="s">
        <v>1318</v>
      </c>
      <c r="B384" s="1" t="str">
        <f>("125307")</f>
        <v>125307</v>
      </c>
      <c r="C384" s="1" t="str">
        <f>("622454461383")</f>
        <v>622454461383</v>
      </c>
      <c r="D384" s="1" t="s">
        <v>525</v>
      </c>
      <c r="E384" t="s">
        <v>526</v>
      </c>
      <c r="F384" s="3">
        <v>5618.05</v>
      </c>
      <c r="G384" s="1" t="s">
        <v>13</v>
      </c>
      <c r="H384" s="2">
        <v>44621</v>
      </c>
      <c r="I384" s="1">
        <v>90.768000000000001</v>
      </c>
      <c r="J384" s="1">
        <v>200.10900000000001</v>
      </c>
      <c r="L384" s="1" t="s">
        <v>31</v>
      </c>
    </row>
    <row r="385" spans="1:12" x14ac:dyDescent="0.25">
      <c r="A385" s="1" t="s">
        <v>1318</v>
      </c>
      <c r="B385" s="1" t="str">
        <f>("125308")</f>
        <v>125308</v>
      </c>
      <c r="C385" s="1" t="str">
        <f>("622454461390")</f>
        <v>622454461390</v>
      </c>
      <c r="D385" s="1" t="s">
        <v>527</v>
      </c>
      <c r="E385" t="s">
        <v>528</v>
      </c>
      <c r="F385" s="3">
        <v>8379.8700000000008</v>
      </c>
      <c r="G385" s="1" t="s">
        <v>13</v>
      </c>
      <c r="H385" s="2">
        <v>44621</v>
      </c>
      <c r="I385" s="1">
        <v>72.001999999999995</v>
      </c>
      <c r="J385" s="1">
        <v>158.73699999999999</v>
      </c>
      <c r="L385" s="1" t="s">
        <v>31</v>
      </c>
    </row>
    <row r="386" spans="1:12" x14ac:dyDescent="0.25">
      <c r="A386" s="1" t="s">
        <v>1318</v>
      </c>
      <c r="B386" s="1" t="str">
        <f>("125309")</f>
        <v>125309</v>
      </c>
      <c r="C386" s="1" t="str">
        <f>("622454461406")</f>
        <v>622454461406</v>
      </c>
      <c r="D386" s="1" t="s">
        <v>529</v>
      </c>
      <c r="E386" t="s">
        <v>530</v>
      </c>
      <c r="F386" s="3">
        <v>12222.15</v>
      </c>
      <c r="G386" s="1" t="s">
        <v>13</v>
      </c>
      <c r="H386" s="2">
        <v>44621</v>
      </c>
      <c r="I386" s="1">
        <v>152.17599999999999</v>
      </c>
      <c r="J386" s="1">
        <v>335.49</v>
      </c>
      <c r="L386" s="1" t="s">
        <v>31</v>
      </c>
    </row>
    <row r="387" spans="1:12" x14ac:dyDescent="0.25">
      <c r="A387" s="1" t="s">
        <v>1318</v>
      </c>
      <c r="B387" s="1" t="str">
        <f>("125312")</f>
        <v>125312</v>
      </c>
      <c r="C387" s="1" t="str">
        <f>("622454461437")</f>
        <v>622454461437</v>
      </c>
      <c r="D387" s="1" t="s">
        <v>531</v>
      </c>
      <c r="E387" t="s">
        <v>532</v>
      </c>
      <c r="F387" s="3">
        <v>786.54</v>
      </c>
      <c r="G387" s="1" t="s">
        <v>13</v>
      </c>
      <c r="H387" s="2">
        <v>44621</v>
      </c>
      <c r="I387" s="1">
        <v>4.0030000000000001</v>
      </c>
      <c r="J387" s="1">
        <v>8.8249999999999993</v>
      </c>
      <c r="K387" s="1">
        <v>2</v>
      </c>
      <c r="L387" s="1" t="s">
        <v>31</v>
      </c>
    </row>
    <row r="388" spans="1:12" x14ac:dyDescent="0.25">
      <c r="A388" s="1" t="s">
        <v>1318</v>
      </c>
      <c r="B388" s="1" t="str">
        <f>("125316")</f>
        <v>125316</v>
      </c>
      <c r="C388" s="1" t="str">
        <f>("622454461475")</f>
        <v>622454461475</v>
      </c>
      <c r="D388" s="1" t="s">
        <v>533</v>
      </c>
      <c r="E388" t="s">
        <v>534</v>
      </c>
      <c r="F388" s="3">
        <v>944.61</v>
      </c>
      <c r="G388" s="1" t="s">
        <v>13</v>
      </c>
      <c r="H388" s="2">
        <v>44621</v>
      </c>
      <c r="I388" s="1">
        <v>5.5949999999999998</v>
      </c>
      <c r="J388" s="1">
        <v>12.335000000000001</v>
      </c>
      <c r="L388" s="1" t="s">
        <v>31</v>
      </c>
    </row>
    <row r="389" spans="1:12" x14ac:dyDescent="0.25">
      <c r="A389" s="1" t="s">
        <v>1318</v>
      </c>
      <c r="B389" s="1" t="str">
        <f>("125318")</f>
        <v>125318</v>
      </c>
      <c r="C389" s="1" t="str">
        <f>("622454461499")</f>
        <v>622454461499</v>
      </c>
      <c r="D389" s="1" t="s">
        <v>535</v>
      </c>
      <c r="E389" t="s">
        <v>536</v>
      </c>
      <c r="F389" s="3">
        <v>1075.3599999999999</v>
      </c>
      <c r="G389" s="1" t="s">
        <v>13</v>
      </c>
      <c r="H389" s="2">
        <v>44621</v>
      </c>
      <c r="I389" s="1">
        <v>6.46</v>
      </c>
      <c r="J389" s="1">
        <v>14.242000000000001</v>
      </c>
      <c r="L389" s="1" t="s">
        <v>31</v>
      </c>
    </row>
    <row r="390" spans="1:12" x14ac:dyDescent="0.25">
      <c r="A390" s="1" t="s">
        <v>1318</v>
      </c>
      <c r="B390" s="1" t="str">
        <f>("125322")</f>
        <v>125322</v>
      </c>
      <c r="C390" s="1" t="str">
        <f>("622454461536")</f>
        <v>622454461536</v>
      </c>
      <c r="D390" s="1" t="s">
        <v>537</v>
      </c>
      <c r="E390" t="s">
        <v>538</v>
      </c>
      <c r="F390" s="3">
        <v>1218.05</v>
      </c>
      <c r="G390" s="1" t="s">
        <v>13</v>
      </c>
      <c r="H390" s="2">
        <v>44621</v>
      </c>
      <c r="I390" s="1">
        <v>8.5269999999999992</v>
      </c>
      <c r="J390" s="1">
        <v>18.798999999999999</v>
      </c>
      <c r="L390" s="1" t="s">
        <v>31</v>
      </c>
    </row>
    <row r="391" spans="1:12" x14ac:dyDescent="0.25">
      <c r="A391" s="1" t="s">
        <v>1318</v>
      </c>
      <c r="B391" s="1" t="str">
        <f>("125324")</f>
        <v>125324</v>
      </c>
      <c r="C391" s="1" t="str">
        <f>("622454461550")</f>
        <v>622454461550</v>
      </c>
      <c r="D391" s="1" t="s">
        <v>539</v>
      </c>
      <c r="E391" t="s">
        <v>540</v>
      </c>
      <c r="F391" s="3">
        <v>1305.6099999999999</v>
      </c>
      <c r="G391" s="1" t="s">
        <v>13</v>
      </c>
      <c r="H391" s="2">
        <v>44621</v>
      </c>
      <c r="I391" s="1">
        <v>10.242000000000001</v>
      </c>
      <c r="J391" s="1">
        <v>22.58</v>
      </c>
      <c r="L391" s="1" t="s">
        <v>31</v>
      </c>
    </row>
    <row r="392" spans="1:12" x14ac:dyDescent="0.25">
      <c r="A392" s="1" t="s">
        <v>1318</v>
      </c>
      <c r="B392" s="1" t="str">
        <f>("125326")</f>
        <v>125326</v>
      </c>
      <c r="C392" s="1" t="str">
        <f>("622454461574")</f>
        <v>622454461574</v>
      </c>
      <c r="D392" s="1" t="s">
        <v>541</v>
      </c>
      <c r="E392" t="s">
        <v>542</v>
      </c>
      <c r="F392" s="3">
        <v>1387.22</v>
      </c>
      <c r="G392" s="1" t="s">
        <v>13</v>
      </c>
      <c r="H392" s="2">
        <v>44621</v>
      </c>
      <c r="I392" s="1">
        <v>13.121</v>
      </c>
      <c r="J392" s="1">
        <v>28.927</v>
      </c>
      <c r="L392" s="1" t="s">
        <v>31</v>
      </c>
    </row>
    <row r="393" spans="1:12" x14ac:dyDescent="0.25">
      <c r="A393" s="1" t="s">
        <v>1318</v>
      </c>
      <c r="B393" s="1" t="str">
        <f>("125330")</f>
        <v>125330</v>
      </c>
      <c r="C393" s="1" t="str">
        <f>("622454461611")</f>
        <v>622454461611</v>
      </c>
      <c r="D393" s="1" t="s">
        <v>543</v>
      </c>
      <c r="E393" t="s">
        <v>544</v>
      </c>
      <c r="F393" s="3">
        <v>1377.84</v>
      </c>
      <c r="G393" s="1" t="s">
        <v>13</v>
      </c>
      <c r="H393" s="2">
        <v>44621</v>
      </c>
      <c r="I393" s="1">
        <v>9.8930000000000007</v>
      </c>
      <c r="J393" s="1">
        <v>21.81</v>
      </c>
      <c r="L393" s="1" t="s">
        <v>31</v>
      </c>
    </row>
    <row r="394" spans="1:12" x14ac:dyDescent="0.25">
      <c r="A394" s="1" t="s">
        <v>1318</v>
      </c>
      <c r="B394" s="1" t="str">
        <f>("125332")</f>
        <v>125332</v>
      </c>
      <c r="C394" s="1" t="str">
        <f>("622454461635")</f>
        <v>622454461635</v>
      </c>
      <c r="D394" s="1" t="s">
        <v>545</v>
      </c>
      <c r="E394" t="s">
        <v>546</v>
      </c>
      <c r="F394" s="3">
        <v>1449.09</v>
      </c>
      <c r="G394" s="1" t="s">
        <v>13</v>
      </c>
      <c r="H394" s="2">
        <v>44621</v>
      </c>
      <c r="I394" s="1">
        <v>12.48</v>
      </c>
      <c r="J394" s="1">
        <v>27.513999999999999</v>
      </c>
      <c r="L394" s="1" t="s">
        <v>31</v>
      </c>
    </row>
    <row r="395" spans="1:12" x14ac:dyDescent="0.25">
      <c r="A395" s="1" t="s">
        <v>1318</v>
      </c>
      <c r="B395" s="1" t="str">
        <f>("125334")</f>
        <v>125334</v>
      </c>
      <c r="C395" s="1" t="str">
        <f>("622454461659")</f>
        <v>622454461659</v>
      </c>
      <c r="D395" s="1" t="s">
        <v>547</v>
      </c>
      <c r="E395" t="s">
        <v>548</v>
      </c>
      <c r="F395" s="3">
        <v>1563.29</v>
      </c>
      <c r="G395" s="1" t="s">
        <v>13</v>
      </c>
      <c r="H395" s="2">
        <v>44621</v>
      </c>
      <c r="I395" s="1">
        <v>13.48</v>
      </c>
      <c r="J395" s="1">
        <v>29.718</v>
      </c>
      <c r="L395" s="1" t="s">
        <v>31</v>
      </c>
    </row>
    <row r="396" spans="1:12" x14ac:dyDescent="0.25">
      <c r="A396" s="1" t="s">
        <v>1318</v>
      </c>
      <c r="B396" s="1" t="str">
        <f>("125336")</f>
        <v>125336</v>
      </c>
      <c r="C396" s="1" t="str">
        <f>("622454461673")</f>
        <v>622454461673</v>
      </c>
      <c r="D396" s="1" t="s">
        <v>549</v>
      </c>
      <c r="E396" t="s">
        <v>550</v>
      </c>
      <c r="F396" s="3">
        <v>1781.47</v>
      </c>
      <c r="G396" s="1" t="s">
        <v>13</v>
      </c>
      <c r="H396" s="2">
        <v>44621</v>
      </c>
      <c r="I396" s="1">
        <v>19.512</v>
      </c>
      <c r="J396" s="1">
        <v>43.017000000000003</v>
      </c>
      <c r="L396" s="1" t="s">
        <v>31</v>
      </c>
    </row>
    <row r="397" spans="1:12" x14ac:dyDescent="0.25">
      <c r="A397" s="1" t="s">
        <v>1318</v>
      </c>
      <c r="B397" s="1" t="str">
        <f>("125340")</f>
        <v>125340</v>
      </c>
      <c r="C397" s="1" t="str">
        <f>("622454461710")</f>
        <v>622454461710</v>
      </c>
      <c r="D397" s="1" t="s">
        <v>551</v>
      </c>
      <c r="E397" t="s">
        <v>552</v>
      </c>
      <c r="F397" s="3">
        <v>1855.84</v>
      </c>
      <c r="G397" s="1" t="s">
        <v>13</v>
      </c>
      <c r="H397" s="2">
        <v>44621</v>
      </c>
      <c r="I397" s="1">
        <v>13.236000000000001</v>
      </c>
      <c r="J397" s="1">
        <v>29.18</v>
      </c>
      <c r="L397" s="1" t="s">
        <v>31</v>
      </c>
    </row>
    <row r="398" spans="1:12" x14ac:dyDescent="0.25">
      <c r="A398" s="1" t="s">
        <v>1318</v>
      </c>
      <c r="B398" s="1" t="str">
        <f>("125342")</f>
        <v>125342</v>
      </c>
      <c r="C398" s="1" t="str">
        <f>("622454461734")</f>
        <v>622454461734</v>
      </c>
      <c r="D398" s="1" t="s">
        <v>553</v>
      </c>
      <c r="E398" t="s">
        <v>554</v>
      </c>
      <c r="F398" s="3">
        <v>2178.0300000000002</v>
      </c>
      <c r="G398" s="1" t="s">
        <v>13</v>
      </c>
      <c r="H398" s="2">
        <v>44621</v>
      </c>
      <c r="I398" s="1">
        <v>15.874000000000001</v>
      </c>
      <c r="J398" s="1">
        <v>34.996000000000002</v>
      </c>
      <c r="L398" s="1" t="s">
        <v>31</v>
      </c>
    </row>
    <row r="399" spans="1:12" x14ac:dyDescent="0.25">
      <c r="A399" s="1" t="s">
        <v>1318</v>
      </c>
      <c r="B399" s="1" t="str">
        <f>("125344")</f>
        <v>125344</v>
      </c>
      <c r="C399" s="1" t="str">
        <f>("622454461758")</f>
        <v>622454461758</v>
      </c>
      <c r="D399" s="1" t="s">
        <v>555</v>
      </c>
      <c r="E399" t="s">
        <v>556</v>
      </c>
      <c r="F399" s="3">
        <v>2425.31</v>
      </c>
      <c r="G399" s="1" t="s">
        <v>13</v>
      </c>
      <c r="H399" s="2">
        <v>44621</v>
      </c>
      <c r="I399" s="1">
        <v>18.802</v>
      </c>
      <c r="J399" s="1">
        <v>41.451000000000001</v>
      </c>
      <c r="L399" s="1" t="s">
        <v>31</v>
      </c>
    </row>
    <row r="400" spans="1:12" x14ac:dyDescent="0.25">
      <c r="A400" s="1" t="s">
        <v>1318</v>
      </c>
      <c r="B400" s="1" t="str">
        <f>("125346")</f>
        <v>125346</v>
      </c>
      <c r="C400" s="1" t="str">
        <f>("622454461772")</f>
        <v>622454461772</v>
      </c>
      <c r="D400" s="1" t="s">
        <v>557</v>
      </c>
      <c r="E400" t="s">
        <v>558</v>
      </c>
      <c r="F400" s="3">
        <v>2756.47</v>
      </c>
      <c r="G400" s="1" t="s">
        <v>13</v>
      </c>
      <c r="H400" s="2">
        <v>44621</v>
      </c>
      <c r="I400" s="1">
        <v>22.718</v>
      </c>
      <c r="J400" s="1">
        <v>50.085000000000001</v>
      </c>
      <c r="L400" s="1" t="s">
        <v>31</v>
      </c>
    </row>
    <row r="401" spans="1:12" x14ac:dyDescent="0.25">
      <c r="A401" s="1" t="s">
        <v>1318</v>
      </c>
      <c r="B401" s="1" t="str">
        <f>("125348")</f>
        <v>125348</v>
      </c>
      <c r="C401" s="1" t="str">
        <f>("622454461796")</f>
        <v>622454461796</v>
      </c>
      <c r="D401" s="1" t="s">
        <v>559</v>
      </c>
      <c r="E401" t="s">
        <v>560</v>
      </c>
      <c r="F401" s="3">
        <v>3131.03</v>
      </c>
      <c r="G401" s="1" t="s">
        <v>13</v>
      </c>
      <c r="H401" s="2">
        <v>44621</v>
      </c>
      <c r="I401" s="1">
        <v>28.640999999999998</v>
      </c>
      <c r="J401" s="1">
        <v>63.143000000000001</v>
      </c>
      <c r="L401" s="1" t="s">
        <v>31</v>
      </c>
    </row>
    <row r="402" spans="1:12" x14ac:dyDescent="0.25">
      <c r="A402" s="1" t="s">
        <v>1318</v>
      </c>
      <c r="B402" s="1" t="str">
        <f>("125352")</f>
        <v>125352</v>
      </c>
      <c r="C402" s="1" t="str">
        <f>("622454461833")</f>
        <v>622454461833</v>
      </c>
      <c r="D402" s="1" t="s">
        <v>561</v>
      </c>
      <c r="E402" t="s">
        <v>562</v>
      </c>
      <c r="F402" s="3">
        <v>2301.46</v>
      </c>
      <c r="G402" s="1" t="s">
        <v>13</v>
      </c>
      <c r="H402" s="2">
        <v>44621</v>
      </c>
      <c r="I402" s="1">
        <v>18.367999999999999</v>
      </c>
      <c r="J402" s="1">
        <v>40.494</v>
      </c>
      <c r="L402" s="1" t="s">
        <v>31</v>
      </c>
    </row>
    <row r="403" spans="1:12" x14ac:dyDescent="0.25">
      <c r="A403" s="1" t="s">
        <v>1318</v>
      </c>
      <c r="B403" s="1" t="str">
        <f>("125354")</f>
        <v>125354</v>
      </c>
      <c r="C403" s="1" t="str">
        <f>("622454461857")</f>
        <v>622454461857</v>
      </c>
      <c r="D403" s="1" t="s">
        <v>563</v>
      </c>
      <c r="E403" t="s">
        <v>564</v>
      </c>
      <c r="F403" s="3">
        <v>2489.5100000000002</v>
      </c>
      <c r="G403" s="1" t="s">
        <v>13</v>
      </c>
      <c r="H403" s="2">
        <v>44621</v>
      </c>
      <c r="I403" s="1">
        <v>21.327999999999999</v>
      </c>
      <c r="J403" s="1">
        <v>47.02</v>
      </c>
      <c r="L403" s="1" t="s">
        <v>31</v>
      </c>
    </row>
    <row r="404" spans="1:12" x14ac:dyDescent="0.25">
      <c r="A404" s="1" t="s">
        <v>1318</v>
      </c>
      <c r="B404" s="1" t="str">
        <f>("125356")</f>
        <v>125356</v>
      </c>
      <c r="C404" s="1" t="str">
        <f>("622454461871")</f>
        <v>622454461871</v>
      </c>
      <c r="D404" s="1" t="s">
        <v>565</v>
      </c>
      <c r="E404" t="s">
        <v>566</v>
      </c>
      <c r="F404" s="3">
        <v>2916.05</v>
      </c>
      <c r="G404" s="1" t="s">
        <v>13</v>
      </c>
      <c r="H404" s="2">
        <v>44621</v>
      </c>
      <c r="I404" s="1">
        <v>24.524000000000001</v>
      </c>
      <c r="J404" s="1">
        <v>54.066000000000003</v>
      </c>
      <c r="L404" s="1" t="s">
        <v>31</v>
      </c>
    </row>
    <row r="405" spans="1:12" x14ac:dyDescent="0.25">
      <c r="A405" s="1" t="s">
        <v>1318</v>
      </c>
      <c r="B405" s="1" t="str">
        <f>("125358")</f>
        <v>125358</v>
      </c>
      <c r="C405" s="1" t="str">
        <f>("622454461895")</f>
        <v>622454461895</v>
      </c>
      <c r="D405" s="1" t="s">
        <v>567</v>
      </c>
      <c r="E405" t="s">
        <v>568</v>
      </c>
      <c r="F405" s="3">
        <v>3142.61</v>
      </c>
      <c r="G405" s="1" t="s">
        <v>13</v>
      </c>
      <c r="H405" s="2">
        <v>44621</v>
      </c>
      <c r="I405" s="1">
        <v>28.754999999999999</v>
      </c>
      <c r="J405" s="1">
        <v>63.393999999999998</v>
      </c>
      <c r="L405" s="1" t="s">
        <v>31</v>
      </c>
    </row>
    <row r="406" spans="1:12" x14ac:dyDescent="0.25">
      <c r="A406" s="1" t="s">
        <v>1318</v>
      </c>
      <c r="B406" s="1" t="str">
        <f>("125360")</f>
        <v>125360</v>
      </c>
      <c r="C406" s="1" t="str">
        <f>("622454461918")</f>
        <v>622454461918</v>
      </c>
      <c r="D406" s="1" t="s">
        <v>569</v>
      </c>
      <c r="E406" t="s">
        <v>570</v>
      </c>
      <c r="F406" s="3">
        <v>3546.31</v>
      </c>
      <c r="G406" s="1" t="s">
        <v>13</v>
      </c>
      <c r="H406" s="2">
        <v>44621</v>
      </c>
      <c r="I406" s="1">
        <v>39.183</v>
      </c>
      <c r="J406" s="1">
        <v>86.384</v>
      </c>
      <c r="L406" s="1" t="s">
        <v>31</v>
      </c>
    </row>
    <row r="407" spans="1:12" x14ac:dyDescent="0.25">
      <c r="A407" s="1" t="s">
        <v>1318</v>
      </c>
      <c r="B407" s="1" t="str">
        <f>("125362")</f>
        <v>125362</v>
      </c>
      <c r="C407" s="1" t="str">
        <f>("622454461932")</f>
        <v>622454461932</v>
      </c>
      <c r="D407" s="1" t="s">
        <v>571</v>
      </c>
      <c r="E407" t="s">
        <v>572</v>
      </c>
      <c r="F407" s="3">
        <v>3923.89</v>
      </c>
      <c r="G407" s="1" t="s">
        <v>13</v>
      </c>
      <c r="H407" s="2">
        <v>44621</v>
      </c>
      <c r="I407" s="1">
        <v>39.478999999999999</v>
      </c>
      <c r="J407" s="1">
        <v>87.036000000000001</v>
      </c>
      <c r="L407" s="1" t="s">
        <v>31</v>
      </c>
    </row>
    <row r="408" spans="1:12" x14ac:dyDescent="0.25">
      <c r="A408" s="1" t="s">
        <v>1318</v>
      </c>
      <c r="B408" s="1" t="str">
        <f>("125364")</f>
        <v>125364</v>
      </c>
      <c r="C408" s="1" t="str">
        <f>("622454461956")</f>
        <v>622454461956</v>
      </c>
      <c r="D408" s="1" t="s">
        <v>573</v>
      </c>
      <c r="E408" t="s">
        <v>574</v>
      </c>
      <c r="F408" s="3">
        <v>2493.13</v>
      </c>
      <c r="G408" s="1" t="s">
        <v>13</v>
      </c>
      <c r="H408" s="2">
        <v>44621</v>
      </c>
      <c r="I408" s="1">
        <v>27.484000000000002</v>
      </c>
      <c r="J408" s="1">
        <v>60.591999999999999</v>
      </c>
      <c r="L408" s="1" t="s">
        <v>31</v>
      </c>
    </row>
    <row r="409" spans="1:12" x14ac:dyDescent="0.25">
      <c r="A409" s="1" t="s">
        <v>1318</v>
      </c>
      <c r="B409" s="1" t="str">
        <f>("125365")</f>
        <v>125365</v>
      </c>
      <c r="C409" s="1" t="str">
        <f>("622454461963")</f>
        <v>622454461963</v>
      </c>
      <c r="D409" s="1" t="s">
        <v>575</v>
      </c>
      <c r="E409" t="s">
        <v>576</v>
      </c>
      <c r="F409" s="3">
        <v>2664.07</v>
      </c>
      <c r="G409" s="1" t="s">
        <v>13</v>
      </c>
      <c r="H409" s="2">
        <v>44621</v>
      </c>
      <c r="I409" s="1">
        <v>28.169</v>
      </c>
      <c r="J409" s="1">
        <v>62.101999999999997</v>
      </c>
      <c r="L409" s="1" t="s">
        <v>31</v>
      </c>
    </row>
    <row r="410" spans="1:12" x14ac:dyDescent="0.25">
      <c r="A410" s="1" t="s">
        <v>1318</v>
      </c>
      <c r="B410" s="1" t="str">
        <f>("125366")</f>
        <v>125366</v>
      </c>
      <c r="C410" s="1" t="str">
        <f>("622454461970")</f>
        <v>622454461970</v>
      </c>
      <c r="D410" s="1" t="s">
        <v>577</v>
      </c>
      <c r="E410" t="s">
        <v>578</v>
      </c>
      <c r="F410" s="3">
        <v>3091.63</v>
      </c>
      <c r="G410" s="1" t="s">
        <v>13</v>
      </c>
      <c r="H410" s="2">
        <v>44621</v>
      </c>
      <c r="I410" s="1">
        <v>31.704000000000001</v>
      </c>
      <c r="J410" s="1">
        <v>69.894999999999996</v>
      </c>
      <c r="L410" s="1" t="s">
        <v>31</v>
      </c>
    </row>
    <row r="411" spans="1:12" x14ac:dyDescent="0.25">
      <c r="A411" s="1" t="s">
        <v>1318</v>
      </c>
      <c r="B411" s="1" t="str">
        <f>("125367")</f>
        <v>125367</v>
      </c>
      <c r="C411" s="1" t="str">
        <f>("622454461987")</f>
        <v>622454461987</v>
      </c>
      <c r="D411" s="1" t="s">
        <v>579</v>
      </c>
      <c r="E411" t="s">
        <v>580</v>
      </c>
      <c r="F411" s="3">
        <v>3931.55</v>
      </c>
      <c r="G411" s="1" t="s">
        <v>13</v>
      </c>
      <c r="H411" s="2">
        <v>44621</v>
      </c>
      <c r="I411" s="1">
        <v>38.945999999999998</v>
      </c>
      <c r="J411" s="1">
        <v>85.861000000000004</v>
      </c>
      <c r="L411" s="1" t="s">
        <v>31</v>
      </c>
    </row>
    <row r="412" spans="1:12" x14ac:dyDescent="0.25">
      <c r="A412" s="1" t="s">
        <v>1318</v>
      </c>
      <c r="B412" s="1" t="str">
        <f>("125368")</f>
        <v>125368</v>
      </c>
      <c r="C412" s="1" t="str">
        <f>("622454461994")</f>
        <v>622454461994</v>
      </c>
      <c r="D412" s="1" t="s">
        <v>581</v>
      </c>
      <c r="E412" t="s">
        <v>582</v>
      </c>
      <c r="F412" s="3">
        <v>4222.0600000000004</v>
      </c>
      <c r="G412" s="1" t="s">
        <v>13</v>
      </c>
      <c r="H412" s="2">
        <v>44621</v>
      </c>
      <c r="I412" s="1">
        <v>42.774000000000001</v>
      </c>
      <c r="J412" s="1">
        <v>94.3</v>
      </c>
      <c r="L412" s="1" t="s">
        <v>31</v>
      </c>
    </row>
    <row r="413" spans="1:12" x14ac:dyDescent="0.25">
      <c r="A413" s="1" t="s">
        <v>1318</v>
      </c>
      <c r="B413" s="1" t="str">
        <f>("125369")</f>
        <v>125369</v>
      </c>
      <c r="C413" s="1" t="str">
        <f>("622454462007")</f>
        <v>622454462007</v>
      </c>
      <c r="D413" s="1" t="s">
        <v>583</v>
      </c>
      <c r="E413" t="s">
        <v>584</v>
      </c>
      <c r="F413" s="3">
        <v>4884.68</v>
      </c>
      <c r="G413" s="1" t="s">
        <v>13</v>
      </c>
      <c r="H413" s="2">
        <v>44621</v>
      </c>
      <c r="I413" s="1">
        <v>47.595999999999997</v>
      </c>
      <c r="J413" s="1">
        <v>104.931</v>
      </c>
      <c r="L413" s="1" t="s">
        <v>31</v>
      </c>
    </row>
    <row r="414" spans="1:12" x14ac:dyDescent="0.25">
      <c r="A414" s="1" t="s">
        <v>1318</v>
      </c>
      <c r="B414" s="1" t="str">
        <f>("125370")</f>
        <v>125370</v>
      </c>
      <c r="C414" s="1" t="str">
        <f>("622454462014")</f>
        <v>622454462014</v>
      </c>
      <c r="D414" s="1" t="s">
        <v>585</v>
      </c>
      <c r="E414" t="s">
        <v>586</v>
      </c>
      <c r="F414" s="3">
        <v>5031.8599999999997</v>
      </c>
      <c r="G414" s="1" t="s">
        <v>13</v>
      </c>
      <c r="H414" s="2">
        <v>44621</v>
      </c>
      <c r="I414" s="1">
        <v>58.148000000000003</v>
      </c>
      <c r="J414" s="1">
        <v>128.19399999999999</v>
      </c>
      <c r="L414" s="1" t="s">
        <v>31</v>
      </c>
    </row>
    <row r="415" spans="1:12" x14ac:dyDescent="0.25">
      <c r="A415" s="1" t="s">
        <v>1318</v>
      </c>
      <c r="B415" s="1" t="str">
        <f>("125371")</f>
        <v>125371</v>
      </c>
      <c r="C415" s="1" t="str">
        <f>("622454462021")</f>
        <v>622454462021</v>
      </c>
      <c r="D415" s="1" t="s">
        <v>587</v>
      </c>
      <c r="E415" t="s">
        <v>588</v>
      </c>
      <c r="F415" s="3">
        <v>2783.51</v>
      </c>
      <c r="G415" s="1" t="s">
        <v>13</v>
      </c>
      <c r="H415" s="2">
        <v>44621</v>
      </c>
      <c r="I415" s="1">
        <v>30.867999999999999</v>
      </c>
      <c r="J415" s="1">
        <v>68.052000000000007</v>
      </c>
      <c r="L415" s="1" t="s">
        <v>31</v>
      </c>
    </row>
    <row r="416" spans="1:12" x14ac:dyDescent="0.25">
      <c r="A416" s="1" t="s">
        <v>1318</v>
      </c>
      <c r="B416" s="1" t="str">
        <f>("125372")</f>
        <v>125372</v>
      </c>
      <c r="C416" s="1" t="str">
        <f>("622454462038")</f>
        <v>622454462038</v>
      </c>
      <c r="D416" s="1" t="s">
        <v>589</v>
      </c>
      <c r="E416" t="s">
        <v>590</v>
      </c>
      <c r="F416" s="3">
        <v>2979.31</v>
      </c>
      <c r="G416" s="1" t="s">
        <v>13</v>
      </c>
      <c r="H416" s="2">
        <v>44621</v>
      </c>
      <c r="I416" s="1">
        <v>34.497999999999998</v>
      </c>
      <c r="J416" s="1">
        <v>76.055000000000007</v>
      </c>
      <c r="L416" s="1" t="s">
        <v>31</v>
      </c>
    </row>
    <row r="417" spans="1:12" x14ac:dyDescent="0.25">
      <c r="A417" s="1" t="s">
        <v>1318</v>
      </c>
      <c r="B417" s="1" t="str">
        <f>("125373")</f>
        <v>125373</v>
      </c>
      <c r="C417" s="1" t="str">
        <f>("622454462045")</f>
        <v>622454462045</v>
      </c>
      <c r="D417" s="1" t="s">
        <v>591</v>
      </c>
      <c r="E417" t="s">
        <v>592</v>
      </c>
      <c r="F417" s="3">
        <v>3262.04</v>
      </c>
      <c r="G417" s="1" t="s">
        <v>13</v>
      </c>
      <c r="H417" s="2">
        <v>44621</v>
      </c>
      <c r="I417" s="1">
        <v>38.271999999999998</v>
      </c>
      <c r="J417" s="1">
        <v>84.375</v>
      </c>
      <c r="L417" s="1" t="s">
        <v>31</v>
      </c>
    </row>
    <row r="418" spans="1:12" x14ac:dyDescent="0.25">
      <c r="A418" s="1" t="s">
        <v>1318</v>
      </c>
      <c r="B418" s="1" t="str">
        <f>("125374")</f>
        <v>125374</v>
      </c>
      <c r="C418" s="1" t="str">
        <f>("622454462052")</f>
        <v>622454462052</v>
      </c>
      <c r="D418" s="1" t="s">
        <v>593</v>
      </c>
      <c r="E418" t="s">
        <v>594</v>
      </c>
      <c r="F418" s="3">
        <v>5557.18</v>
      </c>
      <c r="G418" s="1" t="s">
        <v>13</v>
      </c>
      <c r="H418" s="2">
        <v>44621</v>
      </c>
      <c r="I418" s="1">
        <v>44.136000000000003</v>
      </c>
      <c r="J418" s="1">
        <v>97.302999999999997</v>
      </c>
      <c r="L418" s="1" t="s">
        <v>31</v>
      </c>
    </row>
    <row r="419" spans="1:12" x14ac:dyDescent="0.25">
      <c r="A419" s="1" t="s">
        <v>1318</v>
      </c>
      <c r="B419" s="1" t="str">
        <f>("125375")</f>
        <v>125375</v>
      </c>
      <c r="C419" s="1" t="str">
        <f>("622454462069")</f>
        <v>622454462069</v>
      </c>
      <c r="D419" s="1" t="s">
        <v>595</v>
      </c>
      <c r="E419" t="s">
        <v>596</v>
      </c>
      <c r="F419" s="3">
        <v>5884.32</v>
      </c>
      <c r="G419" s="1" t="s">
        <v>13</v>
      </c>
      <c r="H419" s="2">
        <v>44621</v>
      </c>
      <c r="I419" s="1">
        <v>49.973999999999997</v>
      </c>
      <c r="J419" s="1">
        <v>110.17400000000001</v>
      </c>
      <c r="L419" s="1" t="s">
        <v>31</v>
      </c>
    </row>
    <row r="420" spans="1:12" x14ac:dyDescent="0.25">
      <c r="A420" s="1" t="s">
        <v>1318</v>
      </c>
      <c r="B420" s="1" t="str">
        <f>("125376")</f>
        <v>125376</v>
      </c>
      <c r="C420" s="1" t="str">
        <f>("622454462076")</f>
        <v>622454462076</v>
      </c>
      <c r="D420" s="1" t="s">
        <v>597</v>
      </c>
      <c r="E420" t="s">
        <v>598</v>
      </c>
      <c r="F420" s="3">
        <v>6239.04</v>
      </c>
      <c r="G420" s="1" t="s">
        <v>13</v>
      </c>
      <c r="H420" s="2">
        <v>44621</v>
      </c>
      <c r="I420" s="1">
        <v>54.811</v>
      </c>
      <c r="J420" s="1">
        <v>120.837</v>
      </c>
      <c r="L420" s="1" t="s">
        <v>31</v>
      </c>
    </row>
    <row r="421" spans="1:12" x14ac:dyDescent="0.25">
      <c r="A421" s="1" t="s">
        <v>1318</v>
      </c>
      <c r="B421" s="1" t="str">
        <f>("125377")</f>
        <v>125377</v>
      </c>
      <c r="C421" s="1" t="str">
        <f>("622454462083")</f>
        <v>622454462083</v>
      </c>
      <c r="D421" s="1" t="s">
        <v>599</v>
      </c>
      <c r="E421" t="s">
        <v>600</v>
      </c>
      <c r="F421" s="3">
        <v>7279.37</v>
      </c>
      <c r="G421" s="1" t="s">
        <v>13</v>
      </c>
      <c r="H421" s="2">
        <v>44621</v>
      </c>
      <c r="I421" s="1">
        <v>65.658000000000001</v>
      </c>
      <c r="J421" s="1">
        <v>144.751</v>
      </c>
      <c r="L421" s="1" t="s">
        <v>31</v>
      </c>
    </row>
    <row r="422" spans="1:12" x14ac:dyDescent="0.25">
      <c r="A422" s="1" t="s">
        <v>1318</v>
      </c>
      <c r="B422" s="1" t="str">
        <f>("125378")</f>
        <v>125378</v>
      </c>
      <c r="C422" s="1" t="str">
        <f>("622454462090")</f>
        <v>622454462090</v>
      </c>
      <c r="D422" s="1" t="s">
        <v>601</v>
      </c>
      <c r="E422" t="s">
        <v>602</v>
      </c>
      <c r="F422" s="3">
        <v>8118.44</v>
      </c>
      <c r="G422" s="1" t="s">
        <v>13</v>
      </c>
      <c r="H422" s="2">
        <v>44621</v>
      </c>
      <c r="I422" s="1">
        <v>79.600999999999999</v>
      </c>
      <c r="J422" s="1">
        <v>175.49</v>
      </c>
      <c r="L422" s="1" t="s">
        <v>31</v>
      </c>
    </row>
    <row r="423" spans="1:12" x14ac:dyDescent="0.25">
      <c r="A423" s="1" t="s">
        <v>1318</v>
      </c>
      <c r="B423" s="1" t="str">
        <f>("125379")</f>
        <v>125379</v>
      </c>
      <c r="C423" s="1" t="str">
        <f>("622454462106")</f>
        <v>622454462106</v>
      </c>
      <c r="D423" s="1" t="s">
        <v>603</v>
      </c>
      <c r="E423" t="s">
        <v>604</v>
      </c>
      <c r="F423" s="3">
        <v>4368.32</v>
      </c>
      <c r="G423" s="1" t="s">
        <v>13</v>
      </c>
      <c r="H423" s="2">
        <v>44621</v>
      </c>
      <c r="I423" s="1">
        <v>48.268999999999998</v>
      </c>
      <c r="J423" s="1">
        <v>106.41500000000001</v>
      </c>
      <c r="L423" s="1" t="s">
        <v>31</v>
      </c>
    </row>
    <row r="424" spans="1:12" x14ac:dyDescent="0.25">
      <c r="A424" s="1" t="s">
        <v>1318</v>
      </c>
      <c r="B424" s="1" t="str">
        <f>("125380")</f>
        <v>125380</v>
      </c>
      <c r="C424" s="1" t="str">
        <f>("622454462113")</f>
        <v>622454462113</v>
      </c>
      <c r="D424" s="1" t="s">
        <v>605</v>
      </c>
      <c r="E424" t="s">
        <v>606</v>
      </c>
      <c r="F424" s="3">
        <v>4617.8599999999997</v>
      </c>
      <c r="G424" s="1" t="s">
        <v>13</v>
      </c>
      <c r="H424" s="2">
        <v>44621</v>
      </c>
      <c r="I424" s="1">
        <v>52.546999999999997</v>
      </c>
      <c r="J424" s="1">
        <v>115.846</v>
      </c>
      <c r="L424" s="1" t="s">
        <v>31</v>
      </c>
    </row>
    <row r="425" spans="1:12" x14ac:dyDescent="0.25">
      <c r="A425" s="1" t="s">
        <v>1318</v>
      </c>
      <c r="B425" s="1" t="str">
        <f>("125381")</f>
        <v>125381</v>
      </c>
      <c r="C425" s="1" t="str">
        <f>("622454462120")</f>
        <v>622454462120</v>
      </c>
      <c r="D425" s="1" t="s">
        <v>607</v>
      </c>
      <c r="E425" t="s">
        <v>608</v>
      </c>
      <c r="F425" s="3">
        <v>4971.3500000000004</v>
      </c>
      <c r="G425" s="1" t="s">
        <v>13</v>
      </c>
      <c r="H425" s="2">
        <v>44621</v>
      </c>
      <c r="I425" s="1">
        <v>57.070999999999998</v>
      </c>
      <c r="J425" s="1">
        <v>125.82</v>
      </c>
      <c r="L425" s="1" t="s">
        <v>31</v>
      </c>
    </row>
    <row r="426" spans="1:12" x14ac:dyDescent="0.25">
      <c r="A426" s="1" t="s">
        <v>1318</v>
      </c>
      <c r="B426" s="1" t="str">
        <f>("125382")</f>
        <v>125382</v>
      </c>
      <c r="C426" s="1" t="str">
        <f>("622454462137")</f>
        <v>622454462137</v>
      </c>
      <c r="D426" s="1" t="s">
        <v>609</v>
      </c>
      <c r="E426" t="s">
        <v>610</v>
      </c>
      <c r="F426" s="3">
        <v>7137.14</v>
      </c>
      <c r="G426" s="1" t="s">
        <v>13</v>
      </c>
      <c r="H426" s="2">
        <v>44621</v>
      </c>
      <c r="I426" s="1">
        <v>62.445</v>
      </c>
      <c r="J426" s="1">
        <v>137.667</v>
      </c>
      <c r="L426" s="1" t="s">
        <v>31</v>
      </c>
    </row>
    <row r="427" spans="1:12" x14ac:dyDescent="0.25">
      <c r="A427" s="1" t="s">
        <v>1318</v>
      </c>
      <c r="B427" s="1" t="str">
        <f>("125383")</f>
        <v>125383</v>
      </c>
      <c r="C427" s="1" t="str">
        <f>("622454462144")</f>
        <v>622454462144</v>
      </c>
      <c r="D427" s="1" t="s">
        <v>611</v>
      </c>
      <c r="E427" t="s">
        <v>612</v>
      </c>
      <c r="F427" s="3">
        <v>7277.33</v>
      </c>
      <c r="G427" s="1" t="s">
        <v>13</v>
      </c>
      <c r="H427" s="2">
        <v>44621</v>
      </c>
      <c r="I427" s="1">
        <v>70.08</v>
      </c>
      <c r="J427" s="1">
        <v>154.5</v>
      </c>
      <c r="L427" s="1" t="s">
        <v>31</v>
      </c>
    </row>
    <row r="428" spans="1:12" x14ac:dyDescent="0.25">
      <c r="A428" s="1" t="s">
        <v>1318</v>
      </c>
      <c r="B428" s="1" t="str">
        <f>("125384")</f>
        <v>125384</v>
      </c>
      <c r="C428" s="1" t="str">
        <f>("622454462151")</f>
        <v>622454462151</v>
      </c>
      <c r="D428" s="1" t="s">
        <v>613</v>
      </c>
      <c r="E428" t="s">
        <v>614</v>
      </c>
      <c r="F428" s="3">
        <v>7530.79</v>
      </c>
      <c r="G428" s="1" t="s">
        <v>13</v>
      </c>
      <c r="H428" s="2">
        <v>44621</v>
      </c>
      <c r="I428" s="1">
        <v>75.402000000000001</v>
      </c>
      <c r="J428" s="1">
        <v>166.233</v>
      </c>
      <c r="L428" s="1" t="s">
        <v>31</v>
      </c>
    </row>
    <row r="429" spans="1:12" x14ac:dyDescent="0.25">
      <c r="A429" s="1" t="s">
        <v>1318</v>
      </c>
      <c r="B429" s="1" t="str">
        <f>("125385")</f>
        <v>125385</v>
      </c>
      <c r="C429" s="1" t="str">
        <f>("622454462168")</f>
        <v>622454462168</v>
      </c>
      <c r="D429" s="1" t="s">
        <v>615</v>
      </c>
      <c r="E429" t="s">
        <v>616</v>
      </c>
      <c r="F429" s="3">
        <v>9331.93</v>
      </c>
      <c r="G429" s="1" t="s">
        <v>13</v>
      </c>
      <c r="H429" s="2">
        <v>44621</v>
      </c>
      <c r="I429" s="1">
        <v>86.956999999999994</v>
      </c>
      <c r="J429" s="1">
        <v>191.70699999999999</v>
      </c>
      <c r="L429" s="1" t="s">
        <v>31</v>
      </c>
    </row>
    <row r="430" spans="1:12" x14ac:dyDescent="0.25">
      <c r="A430" s="1" t="s">
        <v>1318</v>
      </c>
      <c r="B430" s="1" t="str">
        <f>("125386")</f>
        <v>125386</v>
      </c>
      <c r="C430" s="1" t="str">
        <f>("622454462175")</f>
        <v>622454462175</v>
      </c>
      <c r="D430" s="1" t="s">
        <v>617</v>
      </c>
      <c r="E430" t="s">
        <v>618</v>
      </c>
      <c r="F430" s="3">
        <v>10261.459999999999</v>
      </c>
      <c r="G430" s="1" t="s">
        <v>13</v>
      </c>
      <c r="H430" s="2">
        <v>44621</v>
      </c>
      <c r="I430" s="1">
        <v>101.566</v>
      </c>
      <c r="J430" s="1">
        <v>223.91399999999999</v>
      </c>
      <c r="L430" s="1" t="s">
        <v>31</v>
      </c>
    </row>
    <row r="431" spans="1:12" x14ac:dyDescent="0.25">
      <c r="A431" s="1" t="s">
        <v>1318</v>
      </c>
      <c r="B431" s="1" t="str">
        <f>("125387")</f>
        <v>125387</v>
      </c>
      <c r="C431" s="1" t="str">
        <f>("622454462182")</f>
        <v>622454462182</v>
      </c>
      <c r="D431" s="1" t="s">
        <v>619</v>
      </c>
      <c r="E431" t="s">
        <v>620</v>
      </c>
      <c r="F431" s="3">
        <v>11929.96</v>
      </c>
      <c r="G431" s="1" t="s">
        <v>13</v>
      </c>
      <c r="H431" s="2">
        <v>44621</v>
      </c>
      <c r="I431" s="1">
        <v>112.86</v>
      </c>
      <c r="J431" s="1">
        <v>248.81299999999999</v>
      </c>
      <c r="L431" s="1" t="s">
        <v>31</v>
      </c>
    </row>
    <row r="432" spans="1:12" x14ac:dyDescent="0.25">
      <c r="A432" s="1" t="s">
        <v>1318</v>
      </c>
      <c r="B432" s="1" t="str">
        <f>("035466")</f>
        <v>035466</v>
      </c>
      <c r="C432" s="1" t="str">
        <f>("622454354661")</f>
        <v>622454354661</v>
      </c>
      <c r="D432" s="1">
        <v>430005</v>
      </c>
      <c r="E432" t="s">
        <v>621</v>
      </c>
      <c r="F432" s="3">
        <v>1.9148936170212767</v>
      </c>
      <c r="G432" s="1" t="s">
        <v>13</v>
      </c>
      <c r="H432" s="2">
        <v>44621</v>
      </c>
      <c r="I432" s="1">
        <v>3.2000000000000001E-2</v>
      </c>
      <c r="J432" s="1">
        <v>7.0999999999999994E-2</v>
      </c>
      <c r="K432" s="1">
        <v>50</v>
      </c>
      <c r="L432" s="1" t="s">
        <v>14</v>
      </c>
    </row>
    <row r="433" spans="1:12" x14ac:dyDescent="0.25">
      <c r="A433" s="1" t="s">
        <v>1318</v>
      </c>
      <c r="B433" s="1" t="str">
        <f>("035467")</f>
        <v>035467</v>
      </c>
      <c r="C433" s="1" t="str">
        <f>("622454354678")</f>
        <v>622454354678</v>
      </c>
      <c r="D433" s="1">
        <v>430007</v>
      </c>
      <c r="E433" t="s">
        <v>622</v>
      </c>
      <c r="F433" s="3">
        <v>3.5531914893617023</v>
      </c>
      <c r="G433" s="1" t="s">
        <v>13</v>
      </c>
      <c r="H433" s="2">
        <v>44621</v>
      </c>
      <c r="I433" s="1">
        <v>0.04</v>
      </c>
      <c r="J433" s="1">
        <v>8.7999999999999995E-2</v>
      </c>
      <c r="K433" s="1">
        <v>40</v>
      </c>
      <c r="L433" s="1" t="s">
        <v>14</v>
      </c>
    </row>
    <row r="434" spans="1:12" x14ac:dyDescent="0.25">
      <c r="A434" s="1" t="s">
        <v>1318</v>
      </c>
      <c r="B434" s="1" t="str">
        <f>("035468")</f>
        <v>035468</v>
      </c>
      <c r="C434" s="1" t="str">
        <f>("622454354685")</f>
        <v>622454354685</v>
      </c>
      <c r="D434" s="1">
        <v>430010</v>
      </c>
      <c r="E434" t="s">
        <v>623</v>
      </c>
      <c r="F434" s="3">
        <v>4.6914893617021285</v>
      </c>
      <c r="G434" s="1" t="s">
        <v>13</v>
      </c>
      <c r="H434" s="2">
        <v>44621</v>
      </c>
      <c r="I434" s="1">
        <v>0.7</v>
      </c>
      <c r="J434" s="1">
        <v>1.5429999999999999</v>
      </c>
      <c r="K434" s="1">
        <v>60</v>
      </c>
      <c r="L434" s="1" t="s">
        <v>14</v>
      </c>
    </row>
    <row r="435" spans="1:12" x14ac:dyDescent="0.25">
      <c r="A435" s="1" t="s">
        <v>1318</v>
      </c>
      <c r="B435" s="1" t="str">
        <f>("035447")</f>
        <v>035447</v>
      </c>
      <c r="C435" s="1" t="str">
        <f>("622454354470")</f>
        <v>622454354470</v>
      </c>
      <c r="D435" s="1">
        <v>429003</v>
      </c>
      <c r="E435" t="s">
        <v>624</v>
      </c>
      <c r="F435" s="3">
        <v>2.7021276595744683</v>
      </c>
      <c r="G435" s="1" t="s">
        <v>13</v>
      </c>
      <c r="H435" s="2">
        <v>44621</v>
      </c>
      <c r="I435" s="1">
        <v>1.4E-2</v>
      </c>
      <c r="J435" s="1">
        <v>3.1E-2</v>
      </c>
      <c r="K435" s="1">
        <v>50</v>
      </c>
      <c r="L435" s="1" t="s">
        <v>14</v>
      </c>
    </row>
    <row r="436" spans="1:12" x14ac:dyDescent="0.25">
      <c r="A436" s="1" t="s">
        <v>1318</v>
      </c>
      <c r="B436" s="1" t="str">
        <f>("035448")</f>
        <v>035448</v>
      </c>
      <c r="C436" s="1" t="str">
        <f>("622454354487")</f>
        <v>622454354487</v>
      </c>
      <c r="D436" s="1">
        <v>429005</v>
      </c>
      <c r="E436" t="s">
        <v>625</v>
      </c>
      <c r="F436" s="3">
        <v>1</v>
      </c>
      <c r="G436" s="1" t="s">
        <v>13</v>
      </c>
      <c r="H436" s="2">
        <v>44621</v>
      </c>
      <c r="I436" s="1">
        <v>0.02</v>
      </c>
      <c r="J436" s="1">
        <v>4.3999999999999997E-2</v>
      </c>
      <c r="K436" s="1">
        <v>75</v>
      </c>
      <c r="L436" s="1" t="s">
        <v>14</v>
      </c>
    </row>
    <row r="437" spans="1:12" x14ac:dyDescent="0.25">
      <c r="A437" s="1" t="s">
        <v>1318</v>
      </c>
      <c r="B437" s="1" t="str">
        <f>("035449")</f>
        <v>035449</v>
      </c>
      <c r="C437" s="1" t="str">
        <f>("622454354494")</f>
        <v>622454354494</v>
      </c>
      <c r="D437" s="1">
        <v>429007</v>
      </c>
      <c r="E437" t="s">
        <v>626</v>
      </c>
      <c r="F437" s="3">
        <v>1.3936170212765959</v>
      </c>
      <c r="G437" s="1" t="s">
        <v>13</v>
      </c>
      <c r="H437" s="2">
        <v>44621</v>
      </c>
      <c r="I437" s="1">
        <v>2.5000000000000001E-2</v>
      </c>
      <c r="J437" s="1">
        <v>5.5E-2</v>
      </c>
      <c r="K437" s="1">
        <v>45</v>
      </c>
      <c r="L437" s="1" t="s">
        <v>14</v>
      </c>
    </row>
    <row r="438" spans="1:12" x14ac:dyDescent="0.25">
      <c r="A438" s="1" t="s">
        <v>1318</v>
      </c>
      <c r="B438" s="1" t="str">
        <f>("035450")</f>
        <v>035450</v>
      </c>
      <c r="C438" s="1" t="str">
        <f>("622454354500")</f>
        <v>622454354500</v>
      </c>
      <c r="D438" s="1">
        <v>429010</v>
      </c>
      <c r="E438" t="s">
        <v>627</v>
      </c>
      <c r="F438" s="3">
        <v>2.4255319148936167</v>
      </c>
      <c r="G438" s="1" t="s">
        <v>13</v>
      </c>
      <c r="H438" s="2">
        <v>44621</v>
      </c>
      <c r="I438" s="1">
        <v>4.4999999999999998E-2</v>
      </c>
      <c r="J438" s="1">
        <v>9.9000000000000005E-2</v>
      </c>
      <c r="K438" s="1">
        <v>60</v>
      </c>
      <c r="L438" s="1" t="s">
        <v>14</v>
      </c>
    </row>
    <row r="439" spans="1:12" x14ac:dyDescent="0.25">
      <c r="A439" s="1" t="s">
        <v>1318</v>
      </c>
      <c r="B439" s="1" t="str">
        <f>("035451")</f>
        <v>035451</v>
      </c>
      <c r="C439" s="1" t="str">
        <f>("622454354517")</f>
        <v>622454354517</v>
      </c>
      <c r="D439" s="1">
        <v>429012</v>
      </c>
      <c r="E439" t="s">
        <v>628</v>
      </c>
      <c r="F439" s="3">
        <v>3.3297872340425534</v>
      </c>
      <c r="G439" s="1" t="s">
        <v>13</v>
      </c>
      <c r="H439" s="2">
        <v>44621</v>
      </c>
      <c r="I439" s="1">
        <v>6.2E-2</v>
      </c>
      <c r="J439" s="1">
        <v>0.13700000000000001</v>
      </c>
      <c r="K439" s="1">
        <v>40</v>
      </c>
      <c r="L439" s="1" t="s">
        <v>14</v>
      </c>
    </row>
    <row r="440" spans="1:12" x14ac:dyDescent="0.25">
      <c r="A440" s="1" t="s">
        <v>1318</v>
      </c>
      <c r="B440" s="1" t="str">
        <f>("035452")</f>
        <v>035452</v>
      </c>
      <c r="C440" s="1" t="str">
        <f>("622454354524")</f>
        <v>622454354524</v>
      </c>
      <c r="D440" s="1">
        <v>429015</v>
      </c>
      <c r="E440" t="s">
        <v>629</v>
      </c>
      <c r="F440" s="3">
        <v>3.5531914893617023</v>
      </c>
      <c r="G440" s="1" t="s">
        <v>13</v>
      </c>
      <c r="H440" s="2">
        <v>44621</v>
      </c>
      <c r="I440" s="1">
        <v>7.8E-2</v>
      </c>
      <c r="J440" s="1">
        <v>0.17199999999999999</v>
      </c>
      <c r="K440" s="1">
        <v>25</v>
      </c>
      <c r="L440" s="1" t="s">
        <v>14</v>
      </c>
    </row>
    <row r="441" spans="1:12" x14ac:dyDescent="0.25">
      <c r="A441" s="1" t="s">
        <v>1318</v>
      </c>
      <c r="B441" s="1" t="str">
        <f>("035453")</f>
        <v>035453</v>
      </c>
      <c r="C441" s="1" t="str">
        <f>("622454354531")</f>
        <v>622454354531</v>
      </c>
      <c r="D441" s="1">
        <v>429020</v>
      </c>
      <c r="E441" t="s">
        <v>630</v>
      </c>
      <c r="F441" s="3">
        <v>5.4361702127659584</v>
      </c>
      <c r="G441" s="1" t="s">
        <v>13</v>
      </c>
      <c r="H441" s="2">
        <v>44621</v>
      </c>
      <c r="I441" s="1">
        <v>8.2000000000000003E-2</v>
      </c>
      <c r="J441" s="1">
        <v>0.18099999999999999</v>
      </c>
      <c r="K441" s="1">
        <v>20</v>
      </c>
      <c r="L441" s="1" t="s">
        <v>14</v>
      </c>
    </row>
    <row r="442" spans="1:12" x14ac:dyDescent="0.25">
      <c r="A442" s="1" t="s">
        <v>1318</v>
      </c>
      <c r="B442" s="1" t="str">
        <f>("035454")</f>
        <v>035454</v>
      </c>
      <c r="C442" s="1" t="str">
        <f>("622454354548")</f>
        <v>622454354548</v>
      </c>
      <c r="D442" s="1">
        <v>429025</v>
      </c>
      <c r="E442" t="s">
        <v>631</v>
      </c>
      <c r="F442" s="3">
        <v>12.021276595744682</v>
      </c>
      <c r="G442" s="1" t="s">
        <v>13</v>
      </c>
      <c r="H442" s="2">
        <v>44621</v>
      </c>
      <c r="I442" s="1">
        <v>0.218</v>
      </c>
      <c r="J442" s="1">
        <v>0.48099999999999998</v>
      </c>
      <c r="K442" s="1">
        <v>20</v>
      </c>
      <c r="L442" s="1" t="s">
        <v>14</v>
      </c>
    </row>
    <row r="443" spans="1:12" x14ac:dyDescent="0.25">
      <c r="A443" s="1" t="s">
        <v>1318</v>
      </c>
      <c r="B443" s="1" t="str">
        <f>("035455")</f>
        <v>035455</v>
      </c>
      <c r="C443" s="1" t="str">
        <f>("622454354555")</f>
        <v>622454354555</v>
      </c>
      <c r="D443" s="1">
        <v>429030</v>
      </c>
      <c r="E443" t="s">
        <v>632</v>
      </c>
      <c r="F443" s="3">
        <v>18.797872340425535</v>
      </c>
      <c r="G443" s="1" t="s">
        <v>13</v>
      </c>
      <c r="H443" s="2">
        <v>44621</v>
      </c>
      <c r="I443" s="1">
        <v>0.28399999999999997</v>
      </c>
      <c r="J443" s="1">
        <v>0.626</v>
      </c>
      <c r="K443" s="1">
        <v>25</v>
      </c>
      <c r="L443" s="1" t="s">
        <v>14</v>
      </c>
    </row>
    <row r="444" spans="1:12" x14ac:dyDescent="0.25">
      <c r="A444" s="1" t="s">
        <v>1318</v>
      </c>
      <c r="B444" s="1" t="str">
        <f>("035456")</f>
        <v>035456</v>
      </c>
      <c r="C444" s="1" t="str">
        <f>("622454354562")</f>
        <v>622454354562</v>
      </c>
      <c r="D444" s="1">
        <v>429040</v>
      </c>
      <c r="E444" t="s">
        <v>633</v>
      </c>
      <c r="F444" s="3">
        <v>27.212765957446809</v>
      </c>
      <c r="G444" s="1" t="s">
        <v>13</v>
      </c>
      <c r="H444" s="2">
        <v>44621</v>
      </c>
      <c r="I444" s="1">
        <v>0.5</v>
      </c>
      <c r="J444" s="1">
        <v>1.1020000000000001</v>
      </c>
      <c r="K444" s="1">
        <v>16</v>
      </c>
      <c r="L444" s="1" t="s">
        <v>14</v>
      </c>
    </row>
    <row r="445" spans="1:12" x14ac:dyDescent="0.25">
      <c r="A445" s="1" t="s">
        <v>1318</v>
      </c>
      <c r="B445" s="1" t="str">
        <f>("035457")</f>
        <v>035457</v>
      </c>
      <c r="C445" s="1" t="str">
        <f>("622454354579")</f>
        <v>622454354579</v>
      </c>
      <c r="D445" s="1">
        <v>429050</v>
      </c>
      <c r="E445" t="s">
        <v>634</v>
      </c>
      <c r="F445" s="3">
        <v>49.840425531914896</v>
      </c>
      <c r="G445" s="1" t="s">
        <v>13</v>
      </c>
      <c r="H445" s="2">
        <v>44621</v>
      </c>
      <c r="I445" s="1">
        <v>0.72599999999999998</v>
      </c>
      <c r="J445" s="1">
        <v>1.601</v>
      </c>
      <c r="K445" s="1">
        <v>5</v>
      </c>
      <c r="L445" s="1" t="s">
        <v>14</v>
      </c>
    </row>
    <row r="446" spans="1:12" x14ac:dyDescent="0.25">
      <c r="A446" s="1" t="s">
        <v>1318</v>
      </c>
      <c r="B446" s="1" t="str">
        <f>("035458")</f>
        <v>035458</v>
      </c>
      <c r="C446" s="1" t="str">
        <f>("622454354586")</f>
        <v>622454354586</v>
      </c>
      <c r="D446" s="1">
        <v>429060</v>
      </c>
      <c r="E446" t="s">
        <v>635</v>
      </c>
      <c r="F446" s="3">
        <v>86.063829787234056</v>
      </c>
      <c r="G446" s="1" t="s">
        <v>13</v>
      </c>
      <c r="H446" s="2">
        <v>44621</v>
      </c>
      <c r="I446" s="1">
        <v>0.99399999999999999</v>
      </c>
      <c r="J446" s="1">
        <v>2.1909999999999998</v>
      </c>
      <c r="K446" s="1">
        <v>10</v>
      </c>
      <c r="L446" s="1" t="s">
        <v>14</v>
      </c>
    </row>
    <row r="447" spans="1:12" x14ac:dyDescent="0.25">
      <c r="A447" s="1" t="s">
        <v>1318</v>
      </c>
      <c r="B447" s="1" t="str">
        <f>("035459")</f>
        <v>035459</v>
      </c>
      <c r="C447" s="1" t="str">
        <f>("622454354593")</f>
        <v>622454354593</v>
      </c>
      <c r="D447" s="1">
        <v>429080</v>
      </c>
      <c r="E447" t="s">
        <v>636</v>
      </c>
      <c r="F447" s="3">
        <v>160.72340425531917</v>
      </c>
      <c r="G447" s="1" t="s">
        <v>13</v>
      </c>
      <c r="H447" s="2">
        <v>44621</v>
      </c>
      <c r="I447" s="1">
        <v>2.0659999999999998</v>
      </c>
      <c r="J447" s="1">
        <v>4.5549999999999997</v>
      </c>
      <c r="K447" s="1">
        <v>6</v>
      </c>
      <c r="L447" s="1" t="s">
        <v>14</v>
      </c>
    </row>
    <row r="448" spans="1:12" x14ac:dyDescent="0.25">
      <c r="A448" s="1" t="s">
        <v>1318</v>
      </c>
      <c r="B448" s="1" t="str">
        <f>("235460")</f>
        <v>235460</v>
      </c>
      <c r="C448" s="1" t="str">
        <f>("622454397125")</f>
        <v>622454397125</v>
      </c>
      <c r="D448" s="1">
        <v>429100</v>
      </c>
      <c r="E448" t="s">
        <v>637</v>
      </c>
      <c r="F448" s="3">
        <v>515.21276595744689</v>
      </c>
      <c r="G448" s="1" t="s">
        <v>13</v>
      </c>
      <c r="H448" s="2">
        <v>44621</v>
      </c>
      <c r="I448" s="1">
        <v>3.524</v>
      </c>
      <c r="J448" s="1">
        <v>7.7690000000000001</v>
      </c>
      <c r="K448" s="1">
        <v>1</v>
      </c>
      <c r="L448" s="1" t="s">
        <v>27</v>
      </c>
    </row>
    <row r="449" spans="1:12" x14ac:dyDescent="0.25">
      <c r="A449" s="1" t="s">
        <v>1318</v>
      </c>
      <c r="B449" s="1" t="str">
        <f>("235461")</f>
        <v>235461</v>
      </c>
      <c r="C449" s="1" t="str">
        <f>("622454397132")</f>
        <v>622454397132</v>
      </c>
      <c r="D449" s="1">
        <v>429120</v>
      </c>
      <c r="E449" t="s">
        <v>638</v>
      </c>
      <c r="F449" s="3">
        <v>1026.5531914893618</v>
      </c>
      <c r="G449" s="1" t="s">
        <v>13</v>
      </c>
      <c r="H449" s="2">
        <v>44621</v>
      </c>
      <c r="I449" s="1">
        <v>5.33</v>
      </c>
      <c r="J449" s="1">
        <v>11.750999999999999</v>
      </c>
      <c r="K449" s="1">
        <v>1</v>
      </c>
      <c r="L449" s="1" t="s">
        <v>27</v>
      </c>
    </row>
    <row r="450" spans="1:12" x14ac:dyDescent="0.25">
      <c r="A450" s="1" t="s">
        <v>1318</v>
      </c>
      <c r="B450" s="1" t="str">
        <f>("125569")</f>
        <v>125569</v>
      </c>
      <c r="C450" s="1" t="str">
        <f>("622454464049")</f>
        <v>622454464049</v>
      </c>
      <c r="D450" s="1" t="s">
        <v>639</v>
      </c>
      <c r="E450" t="s">
        <v>640</v>
      </c>
      <c r="F450" s="3">
        <v>202.8</v>
      </c>
      <c r="G450" s="1" t="s">
        <v>13</v>
      </c>
      <c r="H450" s="2">
        <v>44621</v>
      </c>
      <c r="I450" s="1">
        <v>4.1280000000000001</v>
      </c>
      <c r="J450" s="1">
        <v>9.1010000000000009</v>
      </c>
      <c r="L450" s="1" t="s">
        <v>31</v>
      </c>
    </row>
    <row r="451" spans="1:12" x14ac:dyDescent="0.25">
      <c r="A451" s="1" t="s">
        <v>1318</v>
      </c>
      <c r="B451" s="1" t="str">
        <f>("125571")</f>
        <v>125571</v>
      </c>
      <c r="C451" s="1" t="str">
        <f>("622454464063")</f>
        <v>622454464063</v>
      </c>
      <c r="D451" s="1" t="s">
        <v>641</v>
      </c>
      <c r="E451" t="s">
        <v>642</v>
      </c>
      <c r="F451" s="3">
        <v>215.86</v>
      </c>
      <c r="G451" s="1" t="s">
        <v>13</v>
      </c>
      <c r="H451" s="2">
        <v>44621</v>
      </c>
      <c r="I451" s="1">
        <v>6.681</v>
      </c>
      <c r="J451" s="1">
        <v>14.728999999999999</v>
      </c>
      <c r="L451" s="1" t="s">
        <v>31</v>
      </c>
    </row>
    <row r="452" spans="1:12" x14ac:dyDescent="0.25">
      <c r="A452" s="1" t="s">
        <v>1318</v>
      </c>
      <c r="B452" s="1" t="str">
        <f>("125573")</f>
        <v>125573</v>
      </c>
      <c r="C452" s="1" t="str">
        <f>("622454464087")</f>
        <v>622454464087</v>
      </c>
      <c r="D452" s="1" t="s">
        <v>643</v>
      </c>
      <c r="E452" t="s">
        <v>644</v>
      </c>
      <c r="F452" s="3">
        <v>350.59</v>
      </c>
      <c r="G452" s="1" t="s">
        <v>13</v>
      </c>
      <c r="H452" s="2">
        <v>44621</v>
      </c>
      <c r="I452" s="1">
        <v>8.4079999999999995</v>
      </c>
      <c r="J452" s="1">
        <v>18.536000000000001</v>
      </c>
      <c r="L452" s="1" t="s">
        <v>31</v>
      </c>
    </row>
    <row r="453" spans="1:12" x14ac:dyDescent="0.25">
      <c r="A453" s="1" t="s">
        <v>1318</v>
      </c>
      <c r="B453" s="1" t="str">
        <f>("125575")</f>
        <v>125575</v>
      </c>
      <c r="C453" s="1" t="str">
        <f>("622454464100")</f>
        <v>622454464100</v>
      </c>
      <c r="D453" s="1" t="s">
        <v>645</v>
      </c>
      <c r="E453" t="s">
        <v>646</v>
      </c>
      <c r="F453" s="3">
        <v>390.96</v>
      </c>
      <c r="G453" s="1" t="s">
        <v>13</v>
      </c>
      <c r="H453" s="2">
        <v>44621</v>
      </c>
      <c r="I453" s="1">
        <v>12.997</v>
      </c>
      <c r="J453" s="1">
        <v>28.652999999999999</v>
      </c>
      <c r="L453" s="1" t="s">
        <v>31</v>
      </c>
    </row>
    <row r="454" spans="1:12" x14ac:dyDescent="0.25">
      <c r="A454" s="1" t="s">
        <v>1318</v>
      </c>
      <c r="B454" s="1" t="str">
        <f>("125577")</f>
        <v>125577</v>
      </c>
      <c r="C454" s="1" t="str">
        <f>("622454464124")</f>
        <v>622454464124</v>
      </c>
      <c r="D454" s="1" t="s">
        <v>647</v>
      </c>
      <c r="E454" t="s">
        <v>648</v>
      </c>
      <c r="F454" s="3">
        <v>666.72</v>
      </c>
      <c r="G454" s="1" t="s">
        <v>13</v>
      </c>
      <c r="H454" s="2">
        <v>44621</v>
      </c>
      <c r="I454" s="1">
        <v>18.154</v>
      </c>
      <c r="J454" s="1">
        <v>40.023000000000003</v>
      </c>
      <c r="L454" s="1" t="s">
        <v>31</v>
      </c>
    </row>
    <row r="455" spans="1:12" x14ac:dyDescent="0.25">
      <c r="A455" s="1" t="s">
        <v>1318</v>
      </c>
      <c r="B455" s="1" t="str">
        <f>("125578")</f>
        <v>125578</v>
      </c>
      <c r="C455" s="1" t="str">
        <f>("622454464131")</f>
        <v>622454464131</v>
      </c>
      <c r="D455" s="1" t="s">
        <v>649</v>
      </c>
      <c r="E455" t="s">
        <v>650</v>
      </c>
      <c r="F455" s="3">
        <v>1163.0899999999999</v>
      </c>
      <c r="G455" s="1" t="s">
        <v>13</v>
      </c>
      <c r="H455" s="2">
        <v>44621</v>
      </c>
      <c r="I455" s="1">
        <v>23.611000000000001</v>
      </c>
      <c r="J455" s="1">
        <v>52.052999999999997</v>
      </c>
      <c r="L455" s="1" t="s">
        <v>31</v>
      </c>
    </row>
    <row r="456" spans="1:12" x14ac:dyDescent="0.25">
      <c r="A456" s="1" t="s">
        <v>1318</v>
      </c>
      <c r="B456" s="1" t="str">
        <f>("125579")</f>
        <v>125579</v>
      </c>
      <c r="C456" s="1" t="str">
        <f>("622454464148")</f>
        <v>622454464148</v>
      </c>
      <c r="D456" s="1" t="s">
        <v>651</v>
      </c>
      <c r="E456" t="s">
        <v>652</v>
      </c>
      <c r="F456" s="3">
        <v>1615.3</v>
      </c>
      <c r="G456" s="1" t="s">
        <v>13</v>
      </c>
      <c r="H456" s="2">
        <v>44621</v>
      </c>
      <c r="I456" s="1">
        <v>37.072000000000003</v>
      </c>
      <c r="J456" s="1">
        <v>81.73</v>
      </c>
      <c r="L456" s="1" t="s">
        <v>31</v>
      </c>
    </row>
    <row r="457" spans="1:12" x14ac:dyDescent="0.25">
      <c r="A457" s="1" t="s">
        <v>1318</v>
      </c>
      <c r="B457" s="1" t="str">
        <f>("035759")</f>
        <v>035759</v>
      </c>
      <c r="C457" s="1" t="str">
        <f>("622454357594")</f>
        <v>622454357594</v>
      </c>
      <c r="D457" s="1">
        <v>429101</v>
      </c>
      <c r="E457" t="s">
        <v>653</v>
      </c>
      <c r="F457" s="3">
        <v>2.5106382978723403</v>
      </c>
      <c r="G457" s="1" t="s">
        <v>13</v>
      </c>
      <c r="H457" s="2">
        <v>44621</v>
      </c>
      <c r="I457" s="1">
        <v>1.7999999999999999E-2</v>
      </c>
      <c r="J457" s="1">
        <v>0.04</v>
      </c>
      <c r="K457" s="1">
        <v>50</v>
      </c>
      <c r="L457" s="1" t="s">
        <v>14</v>
      </c>
    </row>
    <row r="458" spans="1:12" x14ac:dyDescent="0.25">
      <c r="A458" s="1" t="s">
        <v>1318</v>
      </c>
      <c r="B458" s="1" t="str">
        <f>("035760")</f>
        <v>035760</v>
      </c>
      <c r="C458" s="1" t="str">
        <f>("622454357600")</f>
        <v>622454357600</v>
      </c>
      <c r="D458" s="1">
        <v>429131</v>
      </c>
      <c r="E458" t="s">
        <v>654</v>
      </c>
      <c r="F458" s="3">
        <v>4.2765957446808507</v>
      </c>
      <c r="G458" s="1" t="s">
        <v>13</v>
      </c>
      <c r="H458" s="2">
        <v>44621</v>
      </c>
      <c r="I458" s="1">
        <v>3.2000000000000001E-2</v>
      </c>
      <c r="J458" s="1">
        <v>7.0999999999999994E-2</v>
      </c>
      <c r="K458" s="1">
        <v>50</v>
      </c>
      <c r="L458" s="1" t="s">
        <v>14</v>
      </c>
    </row>
    <row r="459" spans="1:12" x14ac:dyDescent="0.25">
      <c r="A459" s="1" t="s">
        <v>1318</v>
      </c>
      <c r="B459" s="1" t="str">
        <f>("035761")</f>
        <v>035761</v>
      </c>
      <c r="C459" s="1" t="str">
        <f>("622454357617")</f>
        <v>622454357617</v>
      </c>
      <c r="D459" s="1">
        <v>429168</v>
      </c>
      <c r="E459" t="s">
        <v>655</v>
      </c>
      <c r="F459" s="3">
        <v>7.1914893617021276</v>
      </c>
      <c r="G459" s="1" t="s">
        <v>13</v>
      </c>
      <c r="H459" s="2">
        <v>44621</v>
      </c>
      <c r="I459" s="1">
        <v>7.6999999999999999E-2</v>
      </c>
      <c r="J459" s="1">
        <v>0.17</v>
      </c>
      <c r="K459" s="1">
        <v>25</v>
      </c>
      <c r="L459" s="1" t="s">
        <v>14</v>
      </c>
    </row>
    <row r="460" spans="1:12" x14ac:dyDescent="0.25">
      <c r="A460" s="1" t="s">
        <v>1318</v>
      </c>
      <c r="B460" s="1" t="str">
        <f>("035762")</f>
        <v>035762</v>
      </c>
      <c r="C460" s="1" t="str">
        <f>("622454357624")</f>
        <v>622454357624</v>
      </c>
      <c r="D460" s="1">
        <v>429212</v>
      </c>
      <c r="E460" t="s">
        <v>656</v>
      </c>
      <c r="F460" s="3">
        <v>7.6170212765957457</v>
      </c>
      <c r="G460" s="1" t="s">
        <v>13</v>
      </c>
      <c r="H460" s="2">
        <v>44621</v>
      </c>
      <c r="I460" s="1">
        <v>9.5000000000000001E-2</v>
      </c>
      <c r="J460" s="1">
        <v>0.20899999999999999</v>
      </c>
      <c r="K460" s="1">
        <v>25</v>
      </c>
      <c r="L460" s="1" t="s">
        <v>14</v>
      </c>
    </row>
    <row r="461" spans="1:12" x14ac:dyDescent="0.25">
      <c r="A461" s="1" t="s">
        <v>1318</v>
      </c>
      <c r="B461" s="1" t="str">
        <f>("035764")</f>
        <v>035764</v>
      </c>
      <c r="C461" s="1" t="str">
        <f>("622454357648")</f>
        <v>622454357648</v>
      </c>
      <c r="D461" s="1">
        <v>429251</v>
      </c>
      <c r="E461" t="s">
        <v>657</v>
      </c>
      <c r="F461" s="3">
        <v>12.138297872340427</v>
      </c>
      <c r="G461" s="1" t="s">
        <v>13</v>
      </c>
      <c r="H461" s="2">
        <v>44621</v>
      </c>
      <c r="I461" s="1">
        <v>0.13200000000000001</v>
      </c>
      <c r="J461" s="1">
        <v>0.29099999999999998</v>
      </c>
      <c r="K461" s="1">
        <v>10</v>
      </c>
      <c r="L461" s="1" t="s">
        <v>14</v>
      </c>
    </row>
    <row r="462" spans="1:12" x14ac:dyDescent="0.25">
      <c r="A462" s="1" t="s">
        <v>1318</v>
      </c>
      <c r="B462" s="1" t="str">
        <f>("035765")</f>
        <v>035765</v>
      </c>
      <c r="C462" s="1" t="str">
        <f>("622454357655")</f>
        <v>622454357655</v>
      </c>
      <c r="D462" s="1">
        <v>429422</v>
      </c>
      <c r="E462" t="s">
        <v>658</v>
      </c>
      <c r="F462" s="3">
        <v>81.563829787234056</v>
      </c>
      <c r="G462" s="1" t="s">
        <v>13</v>
      </c>
      <c r="H462" s="2">
        <v>44621</v>
      </c>
      <c r="I462" s="1">
        <v>0.54400000000000004</v>
      </c>
      <c r="J462" s="1">
        <v>1.1990000000000001</v>
      </c>
      <c r="K462" s="1">
        <v>4</v>
      </c>
      <c r="L462" s="1" t="s">
        <v>14</v>
      </c>
    </row>
    <row r="463" spans="1:12" x14ac:dyDescent="0.25">
      <c r="A463" s="1" t="s">
        <v>1318</v>
      </c>
      <c r="B463" s="1" t="str">
        <f>("035766")</f>
        <v>035766</v>
      </c>
      <c r="C463" s="1" t="str">
        <f>("622454357662")</f>
        <v>622454357662</v>
      </c>
      <c r="D463" s="1">
        <v>429532</v>
      </c>
      <c r="E463" t="s">
        <v>659</v>
      </c>
      <c r="F463" s="3">
        <v>107.63829787234044</v>
      </c>
      <c r="G463" s="1" t="s">
        <v>13</v>
      </c>
      <c r="H463" s="2">
        <v>44621</v>
      </c>
      <c r="I463" s="1">
        <v>1.45</v>
      </c>
      <c r="J463" s="1">
        <v>3.1970000000000001</v>
      </c>
      <c r="K463" s="1">
        <v>4</v>
      </c>
      <c r="L463" s="1" t="s">
        <v>14</v>
      </c>
    </row>
    <row r="464" spans="1:12" x14ac:dyDescent="0.25">
      <c r="A464" s="1" t="s">
        <v>1318</v>
      </c>
      <c r="B464" s="1" t="str">
        <f>("235069")</f>
        <v>235069</v>
      </c>
      <c r="C464" s="1" t="str">
        <f>("622454455801")</f>
        <v>622454455801</v>
      </c>
      <c r="D464" s="1">
        <v>429582</v>
      </c>
      <c r="E464" t="s">
        <v>660</v>
      </c>
      <c r="F464" s="3">
        <v>249.63829787234044</v>
      </c>
      <c r="G464" s="1" t="s">
        <v>13</v>
      </c>
      <c r="H464" s="2">
        <v>44621</v>
      </c>
      <c r="I464" s="1">
        <v>1.79</v>
      </c>
      <c r="J464" s="1">
        <v>3.9460000000000002</v>
      </c>
      <c r="K464" s="1">
        <v>2</v>
      </c>
      <c r="L464" s="1" t="s">
        <v>14</v>
      </c>
    </row>
    <row r="465" spans="1:12" x14ac:dyDescent="0.25">
      <c r="A465" s="1" t="s">
        <v>1318</v>
      </c>
      <c r="B465" s="1" t="str">
        <f>("235070")</f>
        <v>235070</v>
      </c>
      <c r="C465" s="1" t="str">
        <f>("622454455818")</f>
        <v>622454455818</v>
      </c>
      <c r="D465" s="1">
        <v>429585</v>
      </c>
      <c r="E465" t="s">
        <v>661</v>
      </c>
      <c r="F465" s="3">
        <v>275.69148936170211</v>
      </c>
      <c r="G465" s="1" t="s">
        <v>13</v>
      </c>
      <c r="H465" s="2">
        <v>44621</v>
      </c>
      <c r="I465" s="1">
        <v>1.82</v>
      </c>
      <c r="J465" s="1">
        <v>4.0119999999999996</v>
      </c>
      <c r="K465" s="1">
        <v>2</v>
      </c>
      <c r="L465" s="1" t="s">
        <v>14</v>
      </c>
    </row>
    <row r="466" spans="1:12" x14ac:dyDescent="0.25">
      <c r="A466" s="1" t="s">
        <v>1318</v>
      </c>
      <c r="B466" s="1" t="str">
        <f>("125602")</f>
        <v>125602</v>
      </c>
      <c r="C466" s="1" t="str">
        <f>("622454464377")</f>
        <v>622454464377</v>
      </c>
      <c r="D466" s="1" t="s">
        <v>662</v>
      </c>
      <c r="E466" t="s">
        <v>663</v>
      </c>
      <c r="F466" s="3">
        <v>91.99</v>
      </c>
      <c r="G466" s="1" t="s">
        <v>13</v>
      </c>
      <c r="H466" s="2">
        <v>44621</v>
      </c>
      <c r="I466" s="1">
        <v>1.0049999999999999</v>
      </c>
      <c r="J466" s="1">
        <v>2.2160000000000002</v>
      </c>
      <c r="K466" s="1">
        <v>10</v>
      </c>
      <c r="L466" s="1" t="s">
        <v>31</v>
      </c>
    </row>
    <row r="467" spans="1:12" x14ac:dyDescent="0.25">
      <c r="A467" s="1" t="s">
        <v>1318</v>
      </c>
      <c r="B467" s="1" t="str">
        <f>("125606")</f>
        <v>125606</v>
      </c>
      <c r="C467" s="1" t="str">
        <f>("622454464414")</f>
        <v>622454464414</v>
      </c>
      <c r="D467" s="1" t="s">
        <v>664</v>
      </c>
      <c r="E467" t="s">
        <v>665</v>
      </c>
      <c r="F467" s="3">
        <v>216.31</v>
      </c>
      <c r="G467" s="1" t="s">
        <v>13</v>
      </c>
      <c r="H467" s="2">
        <v>44621</v>
      </c>
      <c r="I467" s="1">
        <v>1.488</v>
      </c>
      <c r="J467" s="1">
        <v>3.28</v>
      </c>
      <c r="K467" s="1">
        <v>8</v>
      </c>
      <c r="L467" s="1" t="s">
        <v>31</v>
      </c>
    </row>
    <row r="468" spans="1:12" x14ac:dyDescent="0.25">
      <c r="A468" s="1" t="s">
        <v>1318</v>
      </c>
      <c r="B468" s="1" t="str">
        <f>("125608")</f>
        <v>125608</v>
      </c>
      <c r="C468" s="1" t="str">
        <f>("622454464438")</f>
        <v>622454464438</v>
      </c>
      <c r="D468" s="1" t="s">
        <v>666</v>
      </c>
      <c r="E468" t="s">
        <v>667</v>
      </c>
      <c r="F468" s="3">
        <v>173.34</v>
      </c>
      <c r="G468" s="1" t="s">
        <v>13</v>
      </c>
      <c r="H468" s="2">
        <v>44621</v>
      </c>
      <c r="I468" s="1">
        <v>1.9830000000000001</v>
      </c>
      <c r="J468" s="1">
        <v>4.3719999999999999</v>
      </c>
      <c r="K468" s="1">
        <v>8</v>
      </c>
      <c r="L468" s="1" t="s">
        <v>31</v>
      </c>
    </row>
    <row r="469" spans="1:12" x14ac:dyDescent="0.25">
      <c r="A469" s="1" t="s">
        <v>1318</v>
      </c>
      <c r="B469" s="1" t="str">
        <f>("125613")</f>
        <v>125613</v>
      </c>
      <c r="C469" s="1" t="str">
        <f>("622454464483")</f>
        <v>622454464483</v>
      </c>
      <c r="D469" s="1" t="s">
        <v>668</v>
      </c>
      <c r="E469" t="s">
        <v>669</v>
      </c>
      <c r="F469" s="3">
        <v>346.44</v>
      </c>
      <c r="G469" s="1" t="s">
        <v>13</v>
      </c>
      <c r="H469" s="2">
        <v>44621</v>
      </c>
      <c r="I469" s="1">
        <v>5.008</v>
      </c>
      <c r="J469" s="1">
        <v>11.041</v>
      </c>
      <c r="K469" s="1">
        <v>4</v>
      </c>
      <c r="L469" s="1" t="s">
        <v>31</v>
      </c>
    </row>
    <row r="470" spans="1:12" x14ac:dyDescent="0.25">
      <c r="A470" s="1" t="s">
        <v>1318</v>
      </c>
      <c r="B470" s="1" t="str">
        <f>("125615")</f>
        <v>125615</v>
      </c>
      <c r="C470" s="1" t="str">
        <f>("622454464506")</f>
        <v>622454464506</v>
      </c>
      <c r="D470" s="1" t="s">
        <v>670</v>
      </c>
      <c r="E470" t="s">
        <v>671</v>
      </c>
      <c r="F470" s="3">
        <v>322.83999999999997</v>
      </c>
      <c r="G470" s="1" t="s">
        <v>13</v>
      </c>
      <c r="H470" s="2">
        <v>44621</v>
      </c>
      <c r="I470" s="1">
        <v>2.79</v>
      </c>
      <c r="J470" s="1">
        <v>6.1509999999999998</v>
      </c>
      <c r="K470" s="1">
        <v>4</v>
      </c>
      <c r="L470" s="1" t="s">
        <v>31</v>
      </c>
    </row>
    <row r="471" spans="1:12" x14ac:dyDescent="0.25">
      <c r="A471" s="1" t="s">
        <v>1318</v>
      </c>
      <c r="B471" s="1" t="str">
        <f>("125617")</f>
        <v>125617</v>
      </c>
      <c r="C471" s="1" t="str">
        <f>("622454464520")</f>
        <v>622454464520</v>
      </c>
      <c r="D471" s="1" t="s">
        <v>672</v>
      </c>
      <c r="E471" t="s">
        <v>673</v>
      </c>
      <c r="F471" s="3">
        <v>225.96</v>
      </c>
      <c r="G471" s="1" t="s">
        <v>13</v>
      </c>
      <c r="H471" s="2">
        <v>44621</v>
      </c>
      <c r="I471" s="1">
        <v>3.464</v>
      </c>
      <c r="J471" s="1">
        <v>7.6369999999999996</v>
      </c>
      <c r="K471" s="1">
        <v>4</v>
      </c>
      <c r="L471" s="1" t="s">
        <v>31</v>
      </c>
    </row>
    <row r="472" spans="1:12" x14ac:dyDescent="0.25">
      <c r="A472" s="1" t="s">
        <v>1318</v>
      </c>
      <c r="B472" s="1" t="str">
        <f>("125622")</f>
        <v>125622</v>
      </c>
      <c r="C472" s="1" t="str">
        <f>("622454464575")</f>
        <v>622454464575</v>
      </c>
      <c r="D472" s="1" t="s">
        <v>674</v>
      </c>
      <c r="E472" t="s">
        <v>675</v>
      </c>
      <c r="F472" s="3">
        <v>616.39</v>
      </c>
      <c r="G472" s="1" t="s">
        <v>13</v>
      </c>
      <c r="H472" s="2">
        <v>44621</v>
      </c>
      <c r="I472" s="1">
        <v>14.252000000000001</v>
      </c>
      <c r="J472" s="1">
        <v>31.42</v>
      </c>
      <c r="K472" s="1">
        <v>3</v>
      </c>
      <c r="L472" s="1" t="s">
        <v>31</v>
      </c>
    </row>
    <row r="473" spans="1:12" x14ac:dyDescent="0.25">
      <c r="A473" s="1" t="s">
        <v>1318</v>
      </c>
      <c r="B473" s="1" t="str">
        <f>("125624")</f>
        <v>125624</v>
      </c>
      <c r="C473" s="1" t="str">
        <f>("622454464599")</f>
        <v>622454464599</v>
      </c>
      <c r="D473" s="1" t="s">
        <v>676</v>
      </c>
      <c r="E473" t="s">
        <v>677</v>
      </c>
      <c r="F473" s="3">
        <v>567.95000000000005</v>
      </c>
      <c r="G473" s="1" t="s">
        <v>13</v>
      </c>
      <c r="H473" s="2">
        <v>44621</v>
      </c>
      <c r="I473" s="1">
        <v>15.32</v>
      </c>
      <c r="J473" s="1">
        <v>33.774999999999999</v>
      </c>
      <c r="K473" s="1">
        <v>2</v>
      </c>
      <c r="L473" s="1" t="s">
        <v>31</v>
      </c>
    </row>
    <row r="474" spans="1:12" x14ac:dyDescent="0.25">
      <c r="A474" s="1" t="s">
        <v>1318</v>
      </c>
      <c r="B474" s="1" t="str">
        <f>("125626")</f>
        <v>125626</v>
      </c>
      <c r="C474" s="1" t="str">
        <f>("622454464612")</f>
        <v>622454464612</v>
      </c>
      <c r="D474" s="1" t="s">
        <v>678</v>
      </c>
      <c r="E474" t="s">
        <v>679</v>
      </c>
      <c r="F474" s="3">
        <v>550.70000000000005</v>
      </c>
      <c r="G474" s="1" t="s">
        <v>13</v>
      </c>
      <c r="H474" s="2">
        <v>44621</v>
      </c>
      <c r="I474" s="1">
        <v>4.2140000000000004</v>
      </c>
      <c r="J474" s="1">
        <v>9.2899999999999991</v>
      </c>
      <c r="L474" s="1" t="s">
        <v>31</v>
      </c>
    </row>
    <row r="475" spans="1:12" x14ac:dyDescent="0.25">
      <c r="A475" s="1" t="s">
        <v>1318</v>
      </c>
      <c r="B475" s="1" t="str">
        <f>("125628")</f>
        <v>125628</v>
      </c>
      <c r="C475" s="1" t="str">
        <f>("622454464636")</f>
        <v>622454464636</v>
      </c>
      <c r="D475" s="1" t="s">
        <v>680</v>
      </c>
      <c r="E475" t="s">
        <v>681</v>
      </c>
      <c r="F475" s="3">
        <v>328.97</v>
      </c>
      <c r="G475" s="1" t="s">
        <v>13</v>
      </c>
      <c r="H475" s="2">
        <v>44621</v>
      </c>
      <c r="I475" s="1">
        <v>5.5789999999999997</v>
      </c>
      <c r="J475" s="1">
        <v>12.3</v>
      </c>
      <c r="K475" s="1">
        <v>1</v>
      </c>
      <c r="L475" s="1" t="s">
        <v>31</v>
      </c>
    </row>
    <row r="476" spans="1:12" x14ac:dyDescent="0.25">
      <c r="A476" s="1" t="s">
        <v>1318</v>
      </c>
      <c r="B476" s="1" t="str">
        <f>("125633")</f>
        <v>125633</v>
      </c>
      <c r="C476" s="1" t="str">
        <f>("622454464681")</f>
        <v>622454464681</v>
      </c>
      <c r="D476" s="1" t="s">
        <v>682</v>
      </c>
      <c r="E476" t="s">
        <v>683</v>
      </c>
      <c r="F476" s="3">
        <v>1027.02</v>
      </c>
      <c r="G476" s="1" t="s">
        <v>13</v>
      </c>
      <c r="H476" s="2">
        <v>44621</v>
      </c>
      <c r="I476" s="1">
        <v>8.2989999999999995</v>
      </c>
      <c r="J476" s="1">
        <v>18.295999999999999</v>
      </c>
      <c r="L476" s="1" t="s">
        <v>31</v>
      </c>
    </row>
    <row r="477" spans="1:12" x14ac:dyDescent="0.25">
      <c r="A477" s="1" t="s">
        <v>1318</v>
      </c>
      <c r="B477" s="1" t="str">
        <f>("125635")</f>
        <v>125635</v>
      </c>
      <c r="C477" s="1" t="str">
        <f>("622454464704")</f>
        <v>622454464704</v>
      </c>
      <c r="D477" s="1" t="s">
        <v>684</v>
      </c>
      <c r="E477" t="s">
        <v>685</v>
      </c>
      <c r="F477" s="3">
        <v>932.9</v>
      </c>
      <c r="G477" s="1" t="s">
        <v>13</v>
      </c>
      <c r="H477" s="2">
        <v>44621</v>
      </c>
      <c r="I477" s="1">
        <v>9.0220000000000002</v>
      </c>
      <c r="J477" s="1">
        <v>19.89</v>
      </c>
      <c r="L477" s="1" t="s">
        <v>31</v>
      </c>
    </row>
    <row r="478" spans="1:12" x14ac:dyDescent="0.25">
      <c r="A478" s="1" t="s">
        <v>1318</v>
      </c>
      <c r="B478" s="1" t="str">
        <f>("125637")</f>
        <v>125637</v>
      </c>
      <c r="C478" s="1" t="str">
        <f>("622454464728")</f>
        <v>622454464728</v>
      </c>
      <c r="D478" s="1" t="s">
        <v>686</v>
      </c>
      <c r="E478" t="s">
        <v>687</v>
      </c>
      <c r="F478" s="3">
        <v>924.48</v>
      </c>
      <c r="G478" s="1" t="s">
        <v>13</v>
      </c>
      <c r="H478" s="2">
        <v>44621</v>
      </c>
      <c r="I478" s="1">
        <v>10.446</v>
      </c>
      <c r="J478" s="1">
        <v>23.029</v>
      </c>
      <c r="K478" s="1">
        <v>1</v>
      </c>
      <c r="L478" s="1" t="s">
        <v>31</v>
      </c>
    </row>
    <row r="479" spans="1:12" x14ac:dyDescent="0.25">
      <c r="A479" s="1" t="s">
        <v>1318</v>
      </c>
      <c r="B479" s="1" t="str">
        <f>("125639")</f>
        <v>125639</v>
      </c>
      <c r="C479" s="1" t="str">
        <f>("622454464742")</f>
        <v>622454464742</v>
      </c>
      <c r="D479" s="1" t="s">
        <v>688</v>
      </c>
      <c r="E479" t="s">
        <v>689</v>
      </c>
      <c r="F479" s="3">
        <v>731.55</v>
      </c>
      <c r="G479" s="1" t="s">
        <v>13</v>
      </c>
      <c r="H479" s="2">
        <v>44621</v>
      </c>
      <c r="I479" s="1">
        <v>7.0010000000000003</v>
      </c>
      <c r="J479" s="1">
        <v>15.435</v>
      </c>
      <c r="K479" s="1">
        <v>1</v>
      </c>
      <c r="L479" s="1" t="s">
        <v>31</v>
      </c>
    </row>
    <row r="480" spans="1:12" x14ac:dyDescent="0.25">
      <c r="A480" s="1" t="s">
        <v>1318</v>
      </c>
      <c r="B480" s="1" t="str">
        <f>("125641")</f>
        <v>125641</v>
      </c>
      <c r="C480" s="1" t="str">
        <f>("622454464766")</f>
        <v>622454464766</v>
      </c>
      <c r="D480" s="1" t="s">
        <v>690</v>
      </c>
      <c r="E480" t="s">
        <v>691</v>
      </c>
      <c r="F480" s="3">
        <v>550.97</v>
      </c>
      <c r="G480" s="1" t="s">
        <v>13</v>
      </c>
      <c r="H480" s="2">
        <v>44621</v>
      </c>
      <c r="I480" s="1">
        <v>7.7249999999999996</v>
      </c>
      <c r="J480" s="1">
        <v>17.030999999999999</v>
      </c>
      <c r="K480" s="1">
        <v>1</v>
      </c>
      <c r="L480" s="1" t="s">
        <v>31</v>
      </c>
    </row>
    <row r="481" spans="1:12" x14ac:dyDescent="0.25">
      <c r="A481" s="1" t="s">
        <v>1318</v>
      </c>
      <c r="B481" s="1" t="str">
        <f>("125646")</f>
        <v>125646</v>
      </c>
      <c r="C481" s="1" t="str">
        <f>("622454464810")</f>
        <v>622454464810</v>
      </c>
      <c r="D481" s="1" t="s">
        <v>692</v>
      </c>
      <c r="E481" t="s">
        <v>693</v>
      </c>
      <c r="F481" s="3">
        <v>1202.03</v>
      </c>
      <c r="G481" s="1" t="s">
        <v>13</v>
      </c>
      <c r="H481" s="2">
        <v>44621</v>
      </c>
      <c r="I481" s="1">
        <v>11.458</v>
      </c>
      <c r="J481" s="1">
        <v>25.260999999999999</v>
      </c>
      <c r="L481" s="1" t="s">
        <v>31</v>
      </c>
    </row>
    <row r="482" spans="1:12" x14ac:dyDescent="0.25">
      <c r="A482" s="1" t="s">
        <v>1318</v>
      </c>
      <c r="B482" s="1" t="str">
        <f>("125648")</f>
        <v>125648</v>
      </c>
      <c r="C482" s="1" t="str">
        <f>("622454464834")</f>
        <v>622454464834</v>
      </c>
      <c r="D482" s="1" t="s">
        <v>694</v>
      </c>
      <c r="E482" t="s">
        <v>695</v>
      </c>
      <c r="F482" s="3">
        <v>1190.2</v>
      </c>
      <c r="G482" s="1" t="s">
        <v>13</v>
      </c>
      <c r="H482" s="2">
        <v>44621</v>
      </c>
      <c r="I482" s="1">
        <v>12.170999999999999</v>
      </c>
      <c r="J482" s="1">
        <v>26.832000000000001</v>
      </c>
      <c r="L482" s="1" t="s">
        <v>31</v>
      </c>
    </row>
    <row r="483" spans="1:12" x14ac:dyDescent="0.25">
      <c r="A483" s="1" t="s">
        <v>1318</v>
      </c>
      <c r="B483" s="1" t="str">
        <f>("125650")</f>
        <v>125650</v>
      </c>
      <c r="C483" s="1" t="str">
        <f>("622454464858")</f>
        <v>622454464858</v>
      </c>
      <c r="D483" s="1" t="s">
        <v>696</v>
      </c>
      <c r="E483" t="s">
        <v>697</v>
      </c>
      <c r="F483" s="3">
        <v>914.22</v>
      </c>
      <c r="G483" s="1" t="s">
        <v>13</v>
      </c>
      <c r="H483" s="2">
        <v>44621</v>
      </c>
      <c r="I483" s="1">
        <v>13.417999999999999</v>
      </c>
      <c r="J483" s="1">
        <v>29.582000000000001</v>
      </c>
      <c r="L483" s="1" t="s">
        <v>31</v>
      </c>
    </row>
    <row r="484" spans="1:12" x14ac:dyDescent="0.25">
      <c r="A484" s="1" t="s">
        <v>1318</v>
      </c>
      <c r="B484" s="1" t="str">
        <f>("125652")</f>
        <v>125652</v>
      </c>
      <c r="C484" s="1" t="str">
        <f>("622454464872")</f>
        <v>622454464872</v>
      </c>
      <c r="D484" s="1" t="s">
        <v>698</v>
      </c>
      <c r="E484" t="s">
        <v>699</v>
      </c>
      <c r="F484" s="3">
        <v>847.78</v>
      </c>
      <c r="G484" s="1" t="s">
        <v>13</v>
      </c>
      <c r="H484" s="2">
        <v>44621</v>
      </c>
      <c r="I484" s="1">
        <v>11.028</v>
      </c>
      <c r="J484" s="1">
        <v>24.312999999999999</v>
      </c>
      <c r="K484" s="1">
        <v>1</v>
      </c>
      <c r="L484" s="1" t="s">
        <v>31</v>
      </c>
    </row>
    <row r="485" spans="1:12" x14ac:dyDescent="0.25">
      <c r="A485" s="1" t="s">
        <v>1318</v>
      </c>
      <c r="B485" s="1" t="str">
        <f>("125654")</f>
        <v>125654</v>
      </c>
      <c r="C485" s="1" t="str">
        <f>("622454464896")</f>
        <v>622454464896</v>
      </c>
      <c r="D485" s="1" t="s">
        <v>700</v>
      </c>
      <c r="E485" t="s">
        <v>701</v>
      </c>
      <c r="F485" s="3">
        <v>693.47</v>
      </c>
      <c r="G485" s="1" t="s">
        <v>13</v>
      </c>
      <c r="H485" s="2">
        <v>44621</v>
      </c>
      <c r="I485" s="1">
        <v>11.63</v>
      </c>
      <c r="J485" s="1">
        <v>25.64</v>
      </c>
      <c r="L485" s="1" t="s">
        <v>31</v>
      </c>
    </row>
    <row r="486" spans="1:12" x14ac:dyDescent="0.25">
      <c r="A486" s="1" t="s">
        <v>1318</v>
      </c>
      <c r="B486" s="1" t="str">
        <f>("125656")</f>
        <v>125656</v>
      </c>
      <c r="C486" s="1" t="str">
        <f>("622454464919")</f>
        <v>622454464919</v>
      </c>
      <c r="D486" s="1" t="s">
        <v>702</v>
      </c>
      <c r="E486" t="s">
        <v>703</v>
      </c>
      <c r="F486" s="3">
        <v>661.24</v>
      </c>
      <c r="G486" s="1" t="s">
        <v>13</v>
      </c>
      <c r="H486" s="2">
        <v>44621</v>
      </c>
      <c r="I486" s="1">
        <v>10.278</v>
      </c>
      <c r="J486" s="1">
        <v>22.658999999999999</v>
      </c>
      <c r="L486" s="1" t="s">
        <v>31</v>
      </c>
    </row>
    <row r="487" spans="1:12" x14ac:dyDescent="0.25">
      <c r="A487" s="1" t="s">
        <v>1318</v>
      </c>
      <c r="B487" s="1" t="str">
        <f>("125661")</f>
        <v>125661</v>
      </c>
      <c r="C487" s="1" t="str">
        <f>("622454464964")</f>
        <v>622454464964</v>
      </c>
      <c r="D487" s="1" t="s">
        <v>704</v>
      </c>
      <c r="E487" t="s">
        <v>705</v>
      </c>
      <c r="F487" s="3">
        <v>1844.53</v>
      </c>
      <c r="G487" s="1" t="s">
        <v>13</v>
      </c>
      <c r="H487" s="2">
        <v>44621</v>
      </c>
      <c r="I487" s="1">
        <v>14.417999999999999</v>
      </c>
      <c r="J487" s="1">
        <v>31.786000000000001</v>
      </c>
      <c r="L487" s="1" t="s">
        <v>31</v>
      </c>
    </row>
    <row r="488" spans="1:12" x14ac:dyDescent="0.25">
      <c r="A488" s="1" t="s">
        <v>1318</v>
      </c>
      <c r="B488" s="1" t="str">
        <f>("125663")</f>
        <v>125663</v>
      </c>
      <c r="C488" s="1" t="str">
        <f>("622454464988")</f>
        <v>622454464988</v>
      </c>
      <c r="D488" s="1" t="s">
        <v>706</v>
      </c>
      <c r="E488" t="s">
        <v>707</v>
      </c>
      <c r="F488" s="3">
        <v>1745.66</v>
      </c>
      <c r="G488" s="1" t="s">
        <v>13</v>
      </c>
      <c r="H488" s="2">
        <v>44621</v>
      </c>
      <c r="I488" s="1">
        <v>14.803000000000001</v>
      </c>
      <c r="J488" s="1">
        <v>32.634999999999998</v>
      </c>
      <c r="L488" s="1" t="s">
        <v>31</v>
      </c>
    </row>
    <row r="489" spans="1:12" x14ac:dyDescent="0.25">
      <c r="A489" s="1" t="s">
        <v>1318</v>
      </c>
      <c r="B489" s="1" t="str">
        <f>("125665")</f>
        <v>125665</v>
      </c>
      <c r="C489" s="1" t="str">
        <f>("622454465008")</f>
        <v>622454465008</v>
      </c>
      <c r="D489" s="1" t="s">
        <v>708</v>
      </c>
      <c r="E489" t="s">
        <v>709</v>
      </c>
      <c r="F489" s="3">
        <v>1635.73</v>
      </c>
      <c r="G489" s="1" t="s">
        <v>13</v>
      </c>
      <c r="H489" s="2">
        <v>44621</v>
      </c>
      <c r="I489" s="1">
        <v>16.21</v>
      </c>
      <c r="J489" s="1">
        <v>35.737000000000002</v>
      </c>
      <c r="L489" s="1" t="s">
        <v>31</v>
      </c>
    </row>
    <row r="490" spans="1:12" x14ac:dyDescent="0.25">
      <c r="A490" s="1" t="s">
        <v>1318</v>
      </c>
      <c r="B490" s="1" t="str">
        <f>("125667")</f>
        <v>125667</v>
      </c>
      <c r="C490" s="1" t="str">
        <f>("622454465022")</f>
        <v>622454465022</v>
      </c>
      <c r="D490" s="1" t="s">
        <v>710</v>
      </c>
      <c r="E490" t="s">
        <v>711</v>
      </c>
      <c r="F490" s="3">
        <v>1462.84</v>
      </c>
      <c r="G490" s="1" t="s">
        <v>13</v>
      </c>
      <c r="H490" s="2">
        <v>44621</v>
      </c>
      <c r="I490" s="1">
        <v>17.678999999999998</v>
      </c>
      <c r="J490" s="1">
        <v>38.975000000000001</v>
      </c>
      <c r="L490" s="1" t="s">
        <v>31</v>
      </c>
    </row>
    <row r="491" spans="1:12" x14ac:dyDescent="0.25">
      <c r="A491" s="1" t="s">
        <v>1318</v>
      </c>
      <c r="B491" s="1" t="str">
        <f>("125669")</f>
        <v>125669</v>
      </c>
      <c r="C491" s="1" t="str">
        <f>("622454465046")</f>
        <v>622454465046</v>
      </c>
      <c r="D491" s="1" t="s">
        <v>712</v>
      </c>
      <c r="E491" t="s">
        <v>713</v>
      </c>
      <c r="F491" s="3">
        <v>1163.71</v>
      </c>
      <c r="G491" s="1" t="s">
        <v>13</v>
      </c>
      <c r="H491" s="2">
        <v>44621</v>
      </c>
      <c r="I491" s="1">
        <v>17.475000000000001</v>
      </c>
      <c r="J491" s="1">
        <v>38.526000000000003</v>
      </c>
      <c r="L491" s="1" t="s">
        <v>31</v>
      </c>
    </row>
    <row r="492" spans="1:12" x14ac:dyDescent="0.25">
      <c r="A492" s="1" t="s">
        <v>1318</v>
      </c>
      <c r="B492" s="1" t="str">
        <f>("125671")</f>
        <v>125671</v>
      </c>
      <c r="C492" s="1" t="str">
        <f>("622454465060")</f>
        <v>622454465060</v>
      </c>
      <c r="D492" s="1" t="s">
        <v>714</v>
      </c>
      <c r="E492" t="s">
        <v>715</v>
      </c>
      <c r="F492" s="3">
        <v>1080.06</v>
      </c>
      <c r="G492" s="1" t="s">
        <v>13</v>
      </c>
      <c r="H492" s="2">
        <v>44621</v>
      </c>
      <c r="I492" s="1">
        <v>13.667999999999999</v>
      </c>
      <c r="J492" s="1">
        <v>30.132999999999999</v>
      </c>
      <c r="L492" s="1" t="s">
        <v>31</v>
      </c>
    </row>
    <row r="493" spans="1:12" x14ac:dyDescent="0.25">
      <c r="A493" s="1" t="s">
        <v>1318</v>
      </c>
      <c r="B493" s="1" t="str">
        <f>("125673")</f>
        <v>125673</v>
      </c>
      <c r="C493" s="1" t="str">
        <f>("622454465084")</f>
        <v>622454465084</v>
      </c>
      <c r="D493" s="1" t="s">
        <v>716</v>
      </c>
      <c r="E493" t="s">
        <v>717</v>
      </c>
      <c r="F493" s="3">
        <v>977.8</v>
      </c>
      <c r="G493" s="1" t="s">
        <v>13</v>
      </c>
      <c r="H493" s="2">
        <v>44621</v>
      </c>
      <c r="I493" s="1">
        <v>15.084</v>
      </c>
      <c r="J493" s="1">
        <v>33.253999999999998</v>
      </c>
      <c r="L493" s="1" t="s">
        <v>31</v>
      </c>
    </row>
    <row r="494" spans="1:12" x14ac:dyDescent="0.25">
      <c r="A494" s="1" t="s">
        <v>1318</v>
      </c>
      <c r="B494" s="1" t="str">
        <f>("125675")</f>
        <v>125675</v>
      </c>
      <c r="C494" s="1" t="str">
        <f>("622454465107")</f>
        <v>622454465107</v>
      </c>
      <c r="D494" s="1" t="s">
        <v>718</v>
      </c>
      <c r="E494" t="s">
        <v>719</v>
      </c>
      <c r="F494" s="3">
        <v>2810.63</v>
      </c>
      <c r="G494" s="1" t="s">
        <v>13</v>
      </c>
      <c r="H494" s="2">
        <v>44621</v>
      </c>
      <c r="I494" s="1">
        <v>21.928999999999998</v>
      </c>
      <c r="J494" s="1">
        <v>48.344999999999999</v>
      </c>
      <c r="L494" s="1" t="s">
        <v>31</v>
      </c>
    </row>
    <row r="495" spans="1:12" x14ac:dyDescent="0.25">
      <c r="A495" s="1" t="s">
        <v>1318</v>
      </c>
      <c r="B495" s="1" t="str">
        <f>("125677")</f>
        <v>125677</v>
      </c>
      <c r="C495" s="1" t="str">
        <f>("622454465121")</f>
        <v>622454465121</v>
      </c>
      <c r="D495" s="1" t="s">
        <v>720</v>
      </c>
      <c r="E495" t="s">
        <v>721</v>
      </c>
      <c r="F495" s="3">
        <v>2339.27</v>
      </c>
      <c r="G495" s="1" t="s">
        <v>13</v>
      </c>
      <c r="H495" s="2">
        <v>44621</v>
      </c>
      <c r="I495" s="1">
        <v>24.835999999999999</v>
      </c>
      <c r="J495" s="1">
        <v>54.753999999999998</v>
      </c>
      <c r="L495" s="1" t="s">
        <v>31</v>
      </c>
    </row>
    <row r="496" spans="1:12" x14ac:dyDescent="0.25">
      <c r="A496" s="1" t="s">
        <v>1318</v>
      </c>
      <c r="B496" s="1" t="str">
        <f>("125679")</f>
        <v>125679</v>
      </c>
      <c r="C496" s="1" t="str">
        <f>("622454465176")</f>
        <v>622454465176</v>
      </c>
      <c r="D496" s="1" t="s">
        <v>722</v>
      </c>
      <c r="E496" t="s">
        <v>723</v>
      </c>
      <c r="F496" s="3">
        <v>2297.6999999999998</v>
      </c>
      <c r="G496" s="1" t="s">
        <v>13</v>
      </c>
      <c r="H496" s="2">
        <v>44621</v>
      </c>
      <c r="I496" s="1">
        <v>24.047999999999998</v>
      </c>
      <c r="J496" s="1">
        <v>53.017000000000003</v>
      </c>
      <c r="L496" s="1" t="s">
        <v>31</v>
      </c>
    </row>
    <row r="497" spans="1:12" x14ac:dyDescent="0.25">
      <c r="A497" s="1" t="s">
        <v>1318</v>
      </c>
      <c r="B497" s="1" t="str">
        <f>("125681")</f>
        <v>125681</v>
      </c>
      <c r="C497" s="1" t="str">
        <f>("622454465190")</f>
        <v>622454465190</v>
      </c>
      <c r="D497" s="1" t="s">
        <v>724</v>
      </c>
      <c r="E497" t="s">
        <v>725</v>
      </c>
      <c r="F497" s="3">
        <v>2209.35</v>
      </c>
      <c r="G497" s="1" t="s">
        <v>13</v>
      </c>
      <c r="H497" s="2">
        <v>44621</v>
      </c>
      <c r="I497" s="1">
        <v>28.869</v>
      </c>
      <c r="J497" s="1">
        <v>63.645000000000003</v>
      </c>
      <c r="L497" s="1" t="s">
        <v>31</v>
      </c>
    </row>
    <row r="498" spans="1:12" x14ac:dyDescent="0.25">
      <c r="A498" s="1" t="s">
        <v>1318</v>
      </c>
      <c r="B498" s="1" t="str">
        <f>("125683")</f>
        <v>125683</v>
      </c>
      <c r="C498" s="1" t="str">
        <f>("622454465213")</f>
        <v>622454465213</v>
      </c>
      <c r="D498" s="1" t="s">
        <v>726</v>
      </c>
      <c r="E498" t="s">
        <v>727</v>
      </c>
      <c r="F498" s="3">
        <v>2124.84</v>
      </c>
      <c r="G498" s="1" t="s">
        <v>13</v>
      </c>
      <c r="H498" s="2">
        <v>44621</v>
      </c>
      <c r="I498" s="1">
        <v>27.087</v>
      </c>
      <c r="J498" s="1">
        <v>59.716999999999999</v>
      </c>
      <c r="L498" s="1" t="s">
        <v>31</v>
      </c>
    </row>
    <row r="499" spans="1:12" x14ac:dyDescent="0.25">
      <c r="A499" s="1" t="s">
        <v>1318</v>
      </c>
      <c r="B499" s="1" t="str">
        <f>("125685")</f>
        <v>125685</v>
      </c>
      <c r="C499" s="1" t="str">
        <f>("622454465237")</f>
        <v>622454465237</v>
      </c>
      <c r="D499" s="1" t="s">
        <v>728</v>
      </c>
      <c r="E499" t="s">
        <v>729</v>
      </c>
      <c r="F499" s="3">
        <v>1991.57</v>
      </c>
      <c r="G499" s="1" t="s">
        <v>13</v>
      </c>
      <c r="H499" s="2">
        <v>44621</v>
      </c>
      <c r="I499" s="1">
        <v>28.806999999999999</v>
      </c>
      <c r="J499" s="1">
        <v>63.508000000000003</v>
      </c>
      <c r="L499" s="1" t="s">
        <v>31</v>
      </c>
    </row>
    <row r="500" spans="1:12" x14ac:dyDescent="0.25">
      <c r="A500" s="1" t="s">
        <v>1318</v>
      </c>
      <c r="B500" s="1" t="str">
        <f>("125687")</f>
        <v>125687</v>
      </c>
      <c r="C500" s="1" t="str">
        <f>("622454465251")</f>
        <v>622454465251</v>
      </c>
      <c r="D500" s="1" t="s">
        <v>730</v>
      </c>
      <c r="E500" t="s">
        <v>731</v>
      </c>
      <c r="F500" s="3">
        <v>1825.2</v>
      </c>
      <c r="G500" s="1" t="s">
        <v>13</v>
      </c>
      <c r="H500" s="2">
        <v>44621</v>
      </c>
      <c r="I500" s="1">
        <v>17.873000000000001</v>
      </c>
      <c r="J500" s="1">
        <v>39.402999999999999</v>
      </c>
      <c r="L500" s="1" t="s">
        <v>31</v>
      </c>
    </row>
    <row r="501" spans="1:12" x14ac:dyDescent="0.25">
      <c r="A501" s="1" t="s">
        <v>1318</v>
      </c>
      <c r="B501" s="1" t="str">
        <f>("125689")</f>
        <v>125689</v>
      </c>
      <c r="C501" s="1" t="str">
        <f>("622454465275")</f>
        <v>622454465275</v>
      </c>
      <c r="D501" s="1" t="s">
        <v>732</v>
      </c>
      <c r="E501" t="s">
        <v>733</v>
      </c>
      <c r="F501" s="3">
        <v>1659.61</v>
      </c>
      <c r="G501" s="1" t="s">
        <v>13</v>
      </c>
      <c r="H501" s="2">
        <v>44621</v>
      </c>
      <c r="I501" s="1">
        <v>22.692</v>
      </c>
      <c r="J501" s="1">
        <v>50.027000000000001</v>
      </c>
      <c r="L501" s="1" t="s">
        <v>31</v>
      </c>
    </row>
    <row r="502" spans="1:12" x14ac:dyDescent="0.25">
      <c r="A502" s="1" t="s">
        <v>1318</v>
      </c>
      <c r="B502" s="1" t="str">
        <f>("125691")</f>
        <v>125691</v>
      </c>
      <c r="C502" s="1" t="str">
        <f>("622454465299")</f>
        <v>622454465299</v>
      </c>
      <c r="D502" s="1" t="s">
        <v>734</v>
      </c>
      <c r="E502" t="s">
        <v>735</v>
      </c>
      <c r="F502" s="3">
        <v>4231.0200000000004</v>
      </c>
      <c r="G502" s="1" t="s">
        <v>13</v>
      </c>
      <c r="H502" s="2">
        <v>44621</v>
      </c>
      <c r="I502" s="1">
        <v>24.061</v>
      </c>
      <c r="J502" s="1">
        <v>53.045000000000002</v>
      </c>
      <c r="L502" s="1" t="s">
        <v>31</v>
      </c>
    </row>
    <row r="503" spans="1:12" x14ac:dyDescent="0.25">
      <c r="A503" s="1" t="s">
        <v>1318</v>
      </c>
      <c r="B503" s="1" t="str">
        <f>("125693")</f>
        <v>125693</v>
      </c>
      <c r="C503" s="1" t="str">
        <f>("622454465312")</f>
        <v>622454465312</v>
      </c>
      <c r="D503" s="1" t="s">
        <v>736</v>
      </c>
      <c r="E503" t="s">
        <v>737</v>
      </c>
      <c r="F503" s="3">
        <v>4165.09</v>
      </c>
      <c r="G503" s="1" t="s">
        <v>13</v>
      </c>
      <c r="H503" s="2">
        <v>44621</v>
      </c>
      <c r="I503" s="1">
        <v>31.08</v>
      </c>
      <c r="J503" s="1">
        <v>68.52</v>
      </c>
      <c r="L503" s="1" t="s">
        <v>31</v>
      </c>
    </row>
    <row r="504" spans="1:12" x14ac:dyDescent="0.25">
      <c r="A504" s="1" t="s">
        <v>1318</v>
      </c>
      <c r="B504" s="1" t="str">
        <f>("125695")</f>
        <v>125695</v>
      </c>
      <c r="C504" s="1" t="str">
        <f>("622454465336")</f>
        <v>622454465336</v>
      </c>
      <c r="D504" s="1" t="s">
        <v>738</v>
      </c>
      <c r="E504" t="s">
        <v>739</v>
      </c>
      <c r="F504" s="3">
        <v>3832.19</v>
      </c>
      <c r="G504" s="1" t="s">
        <v>13</v>
      </c>
      <c r="H504" s="2">
        <v>44621</v>
      </c>
      <c r="I504" s="1">
        <v>32.054000000000002</v>
      </c>
      <c r="J504" s="1">
        <v>70.667000000000002</v>
      </c>
      <c r="L504" s="1" t="s">
        <v>31</v>
      </c>
    </row>
    <row r="505" spans="1:12" x14ac:dyDescent="0.25">
      <c r="A505" s="1" t="s">
        <v>1318</v>
      </c>
      <c r="B505" s="1" t="str">
        <f>("125697")</f>
        <v>125697</v>
      </c>
      <c r="C505" s="1" t="str">
        <f>("622454465350")</f>
        <v>622454465350</v>
      </c>
      <c r="D505" s="1" t="s">
        <v>740</v>
      </c>
      <c r="E505" t="s">
        <v>741</v>
      </c>
      <c r="F505" s="3">
        <v>3495.49</v>
      </c>
      <c r="G505" s="1" t="s">
        <v>13</v>
      </c>
      <c r="H505" s="2">
        <v>44621</v>
      </c>
      <c r="I505" s="1">
        <v>33.956000000000003</v>
      </c>
      <c r="J505" s="1">
        <v>74.86</v>
      </c>
      <c r="L505" s="1" t="s">
        <v>31</v>
      </c>
    </row>
    <row r="506" spans="1:12" x14ac:dyDescent="0.25">
      <c r="A506" s="1" t="s">
        <v>1318</v>
      </c>
      <c r="B506" s="1" t="str">
        <f>("125699")</f>
        <v>125699</v>
      </c>
      <c r="C506" s="1" t="str">
        <f>("622454465374")</f>
        <v>622454465374</v>
      </c>
      <c r="D506" s="1" t="s">
        <v>742</v>
      </c>
      <c r="E506" t="s">
        <v>743</v>
      </c>
      <c r="F506" s="3">
        <v>3440.43</v>
      </c>
      <c r="G506" s="1" t="s">
        <v>13</v>
      </c>
      <c r="H506" s="2">
        <v>44621</v>
      </c>
      <c r="I506" s="1">
        <v>43.435000000000002</v>
      </c>
      <c r="J506" s="1">
        <v>95.757999999999996</v>
      </c>
      <c r="L506" s="1" t="s">
        <v>31</v>
      </c>
    </row>
    <row r="507" spans="1:12" x14ac:dyDescent="0.25">
      <c r="A507" s="1" t="s">
        <v>1318</v>
      </c>
      <c r="B507" s="1" t="str">
        <f>("125701")</f>
        <v>125701</v>
      </c>
      <c r="C507" s="1" t="str">
        <f>("622454465398")</f>
        <v>622454465398</v>
      </c>
      <c r="D507" s="1" t="s">
        <v>744</v>
      </c>
      <c r="E507" t="s">
        <v>745</v>
      </c>
      <c r="F507" s="3">
        <v>3307.9</v>
      </c>
      <c r="G507" s="1" t="s">
        <v>13</v>
      </c>
      <c r="H507" s="2">
        <v>44621</v>
      </c>
      <c r="I507" s="1">
        <v>43.984000000000002</v>
      </c>
      <c r="J507" s="1">
        <v>96.968000000000004</v>
      </c>
      <c r="L507" s="1" t="s">
        <v>31</v>
      </c>
    </row>
    <row r="508" spans="1:12" x14ac:dyDescent="0.25">
      <c r="A508" s="1" t="s">
        <v>1318</v>
      </c>
      <c r="B508" s="1" t="str">
        <f>("125703")</f>
        <v>125703</v>
      </c>
      <c r="C508" s="1" t="str">
        <f>("622454465411")</f>
        <v>622454465411</v>
      </c>
      <c r="D508" s="1" t="s">
        <v>746</v>
      </c>
      <c r="E508" t="s">
        <v>747</v>
      </c>
      <c r="F508" s="3">
        <v>3181.29</v>
      </c>
      <c r="G508" s="1" t="s">
        <v>13</v>
      </c>
      <c r="H508" s="2">
        <v>44621</v>
      </c>
      <c r="I508" s="1">
        <v>46.210999999999999</v>
      </c>
      <c r="J508" s="1">
        <v>101.878</v>
      </c>
      <c r="L508" s="1" t="s">
        <v>31</v>
      </c>
    </row>
    <row r="509" spans="1:12" x14ac:dyDescent="0.25">
      <c r="A509" s="1" t="s">
        <v>1318</v>
      </c>
      <c r="B509" s="1" t="str">
        <f>("125705")</f>
        <v>125705</v>
      </c>
      <c r="C509" s="1" t="str">
        <f>("622454465459")</f>
        <v>622454465459</v>
      </c>
      <c r="D509" s="1" t="s">
        <v>748</v>
      </c>
      <c r="E509" t="s">
        <v>749</v>
      </c>
      <c r="F509" s="3">
        <v>2817.02</v>
      </c>
      <c r="G509" s="1" t="s">
        <v>13</v>
      </c>
      <c r="H509" s="2">
        <v>44621</v>
      </c>
      <c r="I509" s="1">
        <v>30.256</v>
      </c>
      <c r="J509" s="1">
        <v>66.703000000000003</v>
      </c>
      <c r="L509" s="1" t="s">
        <v>31</v>
      </c>
    </row>
    <row r="510" spans="1:12" x14ac:dyDescent="0.25">
      <c r="A510" s="1" t="s">
        <v>1318</v>
      </c>
      <c r="B510" s="1" t="str">
        <f>("125707")</f>
        <v>125707</v>
      </c>
      <c r="C510" s="1" t="str">
        <f>("622454465473")</f>
        <v>622454465473</v>
      </c>
      <c r="D510" s="1" t="s">
        <v>750</v>
      </c>
      <c r="E510" t="s">
        <v>751</v>
      </c>
      <c r="F510" s="3">
        <v>2534.02</v>
      </c>
      <c r="G510" s="1" t="s">
        <v>13</v>
      </c>
      <c r="H510" s="2">
        <v>44621</v>
      </c>
      <c r="I510" s="1">
        <v>35.451999999999998</v>
      </c>
      <c r="J510" s="1">
        <v>78.158000000000001</v>
      </c>
      <c r="L510" s="1" t="s">
        <v>31</v>
      </c>
    </row>
    <row r="511" spans="1:12" x14ac:dyDescent="0.25">
      <c r="A511" s="1" t="s">
        <v>1318</v>
      </c>
      <c r="B511" s="1" t="str">
        <f>("125737")</f>
        <v>125737</v>
      </c>
      <c r="C511" s="1" t="str">
        <f>("622454465794")</f>
        <v>622454465794</v>
      </c>
      <c r="D511" s="1" t="s">
        <v>752</v>
      </c>
      <c r="E511" t="s">
        <v>753</v>
      </c>
      <c r="F511" s="3">
        <v>77.64</v>
      </c>
      <c r="G511" s="1" t="s">
        <v>13</v>
      </c>
      <c r="H511" s="2">
        <v>44621</v>
      </c>
      <c r="I511" s="1">
        <v>1.111</v>
      </c>
      <c r="J511" s="1">
        <v>2.4489999999999998</v>
      </c>
      <c r="L511" s="1" t="s">
        <v>31</v>
      </c>
    </row>
    <row r="512" spans="1:12" x14ac:dyDescent="0.25">
      <c r="A512" s="1" t="s">
        <v>1318</v>
      </c>
      <c r="B512" s="1" t="str">
        <f>("125738")</f>
        <v>125738</v>
      </c>
      <c r="C512" s="1" t="str">
        <f>("622454465800")</f>
        <v>622454465800</v>
      </c>
      <c r="D512" s="1" t="s">
        <v>754</v>
      </c>
      <c r="E512" t="s">
        <v>755</v>
      </c>
      <c r="F512" s="3">
        <v>159.94999999999999</v>
      </c>
      <c r="G512" s="1" t="s">
        <v>13</v>
      </c>
      <c r="H512" s="2">
        <v>44621</v>
      </c>
      <c r="I512" s="1">
        <v>3.4079999999999999</v>
      </c>
      <c r="J512" s="1">
        <v>7.5129999999999999</v>
      </c>
      <c r="L512" s="1" t="s">
        <v>31</v>
      </c>
    </row>
    <row r="513" spans="1:12" x14ac:dyDescent="0.25">
      <c r="A513" s="1" t="s">
        <v>1318</v>
      </c>
      <c r="B513" s="1" t="str">
        <f>("125739")</f>
        <v>125739</v>
      </c>
      <c r="C513" s="1" t="str">
        <f>("622454465879")</f>
        <v>622454465879</v>
      </c>
      <c r="D513" s="1" t="s">
        <v>756</v>
      </c>
      <c r="E513" t="s">
        <v>757</v>
      </c>
      <c r="F513" s="3">
        <v>129.32</v>
      </c>
      <c r="G513" s="1" t="s">
        <v>13</v>
      </c>
      <c r="H513" s="2">
        <v>44621</v>
      </c>
      <c r="I513" s="1">
        <v>2.4729999999999999</v>
      </c>
      <c r="J513" s="1">
        <v>5.452</v>
      </c>
      <c r="L513" s="1" t="s">
        <v>31</v>
      </c>
    </row>
    <row r="514" spans="1:12" x14ac:dyDescent="0.25">
      <c r="A514" s="1" t="s">
        <v>1318</v>
      </c>
      <c r="B514" s="1" t="str">
        <f>("125740")</f>
        <v>125740</v>
      </c>
      <c r="C514" s="1" t="str">
        <f>("622454465909")</f>
        <v>622454465909</v>
      </c>
      <c r="D514" s="1" t="s">
        <v>758</v>
      </c>
      <c r="E514" t="s">
        <v>759</v>
      </c>
      <c r="F514" s="3">
        <v>365.74</v>
      </c>
      <c r="G514" s="1" t="s">
        <v>13</v>
      </c>
      <c r="H514" s="2">
        <v>44621</v>
      </c>
      <c r="I514" s="1">
        <v>5.2039999999999997</v>
      </c>
      <c r="J514" s="1">
        <v>11.473000000000001</v>
      </c>
      <c r="L514" s="1" t="s">
        <v>31</v>
      </c>
    </row>
    <row r="515" spans="1:12" x14ac:dyDescent="0.25">
      <c r="A515" s="1" t="s">
        <v>1318</v>
      </c>
      <c r="B515" s="1" t="str">
        <f>("125741")</f>
        <v>125741</v>
      </c>
      <c r="C515" s="1" t="str">
        <f>("622454465916")</f>
        <v>622454465916</v>
      </c>
      <c r="D515" s="1" t="s">
        <v>760</v>
      </c>
      <c r="E515" t="s">
        <v>761</v>
      </c>
      <c r="F515" s="3">
        <v>336.27</v>
      </c>
      <c r="G515" s="1" t="s">
        <v>13</v>
      </c>
      <c r="H515" s="2">
        <v>44621</v>
      </c>
      <c r="I515" s="1">
        <v>7.0670000000000002</v>
      </c>
      <c r="J515" s="1">
        <v>15.58</v>
      </c>
      <c r="L515" s="1" t="s">
        <v>31</v>
      </c>
    </row>
    <row r="516" spans="1:12" x14ac:dyDescent="0.25">
      <c r="A516" s="1" t="s">
        <v>1318</v>
      </c>
      <c r="B516" s="1" t="str">
        <f>("125742")</f>
        <v>125742</v>
      </c>
      <c r="C516" s="1" t="str">
        <f>("622454465930")</f>
        <v>622454465930</v>
      </c>
      <c r="D516" s="1" t="s">
        <v>762</v>
      </c>
      <c r="E516" t="s">
        <v>763</v>
      </c>
      <c r="F516" s="3">
        <v>317.05</v>
      </c>
      <c r="G516" s="1" t="s">
        <v>13</v>
      </c>
      <c r="H516" s="2">
        <v>44621</v>
      </c>
      <c r="I516" s="1">
        <v>3.4980000000000002</v>
      </c>
      <c r="J516" s="1">
        <v>7.7119999999999997</v>
      </c>
      <c r="L516" s="1" t="s">
        <v>31</v>
      </c>
    </row>
    <row r="517" spans="1:12" x14ac:dyDescent="0.25">
      <c r="A517" s="1" t="s">
        <v>1318</v>
      </c>
      <c r="B517" s="1" t="str">
        <f>("125743")</f>
        <v>125743</v>
      </c>
      <c r="C517" s="1" t="str">
        <f>("622454465947")</f>
        <v>622454465947</v>
      </c>
      <c r="D517" s="1" t="s">
        <v>764</v>
      </c>
      <c r="E517" t="s">
        <v>765</v>
      </c>
      <c r="F517" s="3">
        <v>682.38</v>
      </c>
      <c r="G517" s="1" t="s">
        <v>13</v>
      </c>
      <c r="H517" s="2">
        <v>44621</v>
      </c>
      <c r="I517" s="1">
        <v>14.439</v>
      </c>
      <c r="J517" s="1">
        <v>31.832999999999998</v>
      </c>
      <c r="L517" s="1" t="s">
        <v>31</v>
      </c>
    </row>
    <row r="518" spans="1:12" x14ac:dyDescent="0.25">
      <c r="A518" s="1" t="s">
        <v>1318</v>
      </c>
      <c r="B518" s="1" t="str">
        <f>("125744")</f>
        <v>125744</v>
      </c>
      <c r="C518" s="1" t="str">
        <f>("622454465954")</f>
        <v>622454465954</v>
      </c>
      <c r="D518" s="1" t="s">
        <v>766</v>
      </c>
      <c r="E518" t="s">
        <v>767</v>
      </c>
      <c r="F518" s="3">
        <v>560.69000000000005</v>
      </c>
      <c r="G518" s="1" t="s">
        <v>13</v>
      </c>
      <c r="H518" s="2">
        <v>44621</v>
      </c>
      <c r="I518" s="1">
        <v>15.301</v>
      </c>
      <c r="J518" s="1">
        <v>33.732999999999997</v>
      </c>
      <c r="L518" s="1" t="s">
        <v>31</v>
      </c>
    </row>
    <row r="519" spans="1:12" x14ac:dyDescent="0.25">
      <c r="A519" s="1" t="s">
        <v>1318</v>
      </c>
      <c r="B519" s="1" t="str">
        <f>("125745")</f>
        <v>125745</v>
      </c>
      <c r="C519" s="1" t="str">
        <f>("622454465961")</f>
        <v>622454465961</v>
      </c>
      <c r="D519" s="1" t="s">
        <v>768</v>
      </c>
      <c r="E519" t="s">
        <v>769</v>
      </c>
      <c r="F519" s="3">
        <v>371.83</v>
      </c>
      <c r="G519" s="1" t="s">
        <v>13</v>
      </c>
      <c r="H519" s="2">
        <v>44621</v>
      </c>
      <c r="I519" s="1">
        <v>8.4969999999999999</v>
      </c>
      <c r="J519" s="1">
        <v>18.733000000000001</v>
      </c>
      <c r="L519" s="1" t="s">
        <v>31</v>
      </c>
    </row>
    <row r="520" spans="1:12" x14ac:dyDescent="0.25">
      <c r="A520" s="1" t="s">
        <v>1318</v>
      </c>
      <c r="B520" s="1" t="str">
        <f>("125746")</f>
        <v>125746</v>
      </c>
      <c r="C520" s="1" t="str">
        <f>("622454465978")</f>
        <v>622454465978</v>
      </c>
      <c r="D520" s="1" t="s">
        <v>770</v>
      </c>
      <c r="E520" t="s">
        <v>771</v>
      </c>
      <c r="F520" s="3">
        <v>322.36</v>
      </c>
      <c r="G520" s="1" t="s">
        <v>13</v>
      </c>
      <c r="H520" s="2">
        <v>44621</v>
      </c>
      <c r="I520" s="1">
        <v>4.1020000000000003</v>
      </c>
      <c r="J520" s="1">
        <v>9.0429999999999993</v>
      </c>
      <c r="L520" s="1" t="s">
        <v>31</v>
      </c>
    </row>
    <row r="521" spans="1:12" x14ac:dyDescent="0.25">
      <c r="A521" s="1" t="s">
        <v>1318</v>
      </c>
      <c r="B521" s="1" t="str">
        <f>("125748")</f>
        <v>125748</v>
      </c>
      <c r="C521" s="1" t="str">
        <f>("622454465992")</f>
        <v>622454465992</v>
      </c>
      <c r="D521" s="1" t="s">
        <v>772</v>
      </c>
      <c r="E521" t="s">
        <v>773</v>
      </c>
      <c r="F521" s="3">
        <v>1139.03</v>
      </c>
      <c r="G521" s="1" t="s">
        <v>13</v>
      </c>
      <c r="H521" s="2">
        <v>44621</v>
      </c>
      <c r="I521" s="1">
        <v>8.6189999999999998</v>
      </c>
      <c r="J521" s="1">
        <v>19.001999999999999</v>
      </c>
      <c r="L521" s="1" t="s">
        <v>31</v>
      </c>
    </row>
    <row r="522" spans="1:12" x14ac:dyDescent="0.25">
      <c r="A522" s="1" t="s">
        <v>1318</v>
      </c>
      <c r="B522" s="1" t="str">
        <f>("125749")</f>
        <v>125749</v>
      </c>
      <c r="C522" s="1" t="str">
        <f>("622454466005")</f>
        <v>622454466005</v>
      </c>
      <c r="D522" s="1" t="s">
        <v>774</v>
      </c>
      <c r="E522" t="s">
        <v>775</v>
      </c>
      <c r="F522" s="3">
        <v>933.06</v>
      </c>
      <c r="G522" s="1" t="s">
        <v>13</v>
      </c>
      <c r="H522" s="2">
        <v>44621</v>
      </c>
      <c r="I522" s="1">
        <v>9.5579999999999998</v>
      </c>
      <c r="J522" s="1">
        <v>21.071999999999999</v>
      </c>
      <c r="L522" s="1" t="s">
        <v>31</v>
      </c>
    </row>
    <row r="523" spans="1:12" x14ac:dyDescent="0.25">
      <c r="A523" s="1" t="s">
        <v>1318</v>
      </c>
      <c r="B523" s="1" t="str">
        <f>("125750")</f>
        <v>125750</v>
      </c>
      <c r="C523" s="1" t="str">
        <f>("622454466012")</f>
        <v>622454466012</v>
      </c>
      <c r="D523" s="1" t="s">
        <v>776</v>
      </c>
      <c r="E523" t="s">
        <v>777</v>
      </c>
      <c r="F523" s="3">
        <v>847.02</v>
      </c>
      <c r="G523" s="1" t="s">
        <v>13</v>
      </c>
      <c r="H523" s="2">
        <v>44621</v>
      </c>
      <c r="I523" s="1">
        <v>11.897</v>
      </c>
      <c r="J523" s="1">
        <v>26.228000000000002</v>
      </c>
      <c r="L523" s="1" t="s">
        <v>31</v>
      </c>
    </row>
    <row r="524" spans="1:12" x14ac:dyDescent="0.25">
      <c r="A524" s="1" t="s">
        <v>1318</v>
      </c>
      <c r="B524" s="1" t="str">
        <f>("125751")</f>
        <v>125751</v>
      </c>
      <c r="C524" s="1" t="str">
        <f>("622454466043")</f>
        <v>622454466043</v>
      </c>
      <c r="D524" s="1" t="s">
        <v>778</v>
      </c>
      <c r="E524" t="s">
        <v>779</v>
      </c>
      <c r="F524" s="3">
        <v>466.87</v>
      </c>
      <c r="G524" s="1" t="s">
        <v>13</v>
      </c>
      <c r="H524" s="2">
        <v>44621</v>
      </c>
      <c r="I524" s="1">
        <v>8.2469999999999999</v>
      </c>
      <c r="J524" s="1">
        <v>18.181999999999999</v>
      </c>
      <c r="L524" s="1" t="s">
        <v>31</v>
      </c>
    </row>
    <row r="525" spans="1:12" x14ac:dyDescent="0.25">
      <c r="A525" s="1" t="s">
        <v>1318</v>
      </c>
      <c r="B525" s="1" t="str">
        <f>("125754")</f>
        <v>125754</v>
      </c>
      <c r="C525" s="1" t="str">
        <f>("622454466074")</f>
        <v>622454466074</v>
      </c>
      <c r="D525" s="1" t="s">
        <v>780</v>
      </c>
      <c r="E525" t="s">
        <v>781</v>
      </c>
      <c r="F525" s="3">
        <v>927.24</v>
      </c>
      <c r="G525" s="1" t="s">
        <v>13</v>
      </c>
      <c r="H525" s="2">
        <v>44621</v>
      </c>
      <c r="I525" s="1">
        <v>13.577</v>
      </c>
      <c r="J525" s="1">
        <v>29.931999999999999</v>
      </c>
      <c r="L525" s="1" t="s">
        <v>31</v>
      </c>
    </row>
    <row r="526" spans="1:12" x14ac:dyDescent="0.25">
      <c r="A526" s="1" t="s">
        <v>1318</v>
      </c>
      <c r="B526" s="1" t="str">
        <f>("125755")</f>
        <v>125755</v>
      </c>
      <c r="C526" s="1" t="str">
        <f>("622454466081")</f>
        <v>622454466081</v>
      </c>
      <c r="D526" s="1" t="s">
        <v>782</v>
      </c>
      <c r="E526" t="s">
        <v>783</v>
      </c>
      <c r="F526" s="3">
        <v>834.29</v>
      </c>
      <c r="G526" s="1" t="s">
        <v>13</v>
      </c>
      <c r="H526" s="2">
        <v>44621</v>
      </c>
      <c r="I526" s="1">
        <v>14.36</v>
      </c>
      <c r="J526" s="1">
        <v>31.658000000000001</v>
      </c>
      <c r="L526" s="1" t="s">
        <v>31</v>
      </c>
    </row>
    <row r="527" spans="1:12" x14ac:dyDescent="0.25">
      <c r="A527" s="1" t="s">
        <v>1318</v>
      </c>
      <c r="B527" s="1" t="str">
        <f>("125756")</f>
        <v>125756</v>
      </c>
      <c r="C527" s="1" t="str">
        <f>("622454466098")</f>
        <v>622454466098</v>
      </c>
      <c r="D527" s="1" t="s">
        <v>784</v>
      </c>
      <c r="E527" t="s">
        <v>785</v>
      </c>
      <c r="F527" s="3">
        <v>782.43</v>
      </c>
      <c r="G527" s="1" t="s">
        <v>13</v>
      </c>
      <c r="H527" s="2">
        <v>44621</v>
      </c>
      <c r="I527" s="1">
        <v>14.548999999999999</v>
      </c>
      <c r="J527" s="1">
        <v>32.075000000000003</v>
      </c>
      <c r="L527" s="1" t="s">
        <v>31</v>
      </c>
    </row>
    <row r="528" spans="1:12" x14ac:dyDescent="0.25">
      <c r="A528" s="1" t="s">
        <v>1318</v>
      </c>
      <c r="B528" s="1" t="str">
        <f>("125757")</f>
        <v>125757</v>
      </c>
      <c r="C528" s="1" t="str">
        <f>("622454466104")</f>
        <v>622454466104</v>
      </c>
      <c r="D528" s="1" t="s">
        <v>786</v>
      </c>
      <c r="E528" t="s">
        <v>787</v>
      </c>
      <c r="F528" s="3">
        <v>733.71</v>
      </c>
      <c r="G528" s="1" t="s">
        <v>13</v>
      </c>
      <c r="H528" s="2">
        <v>44621</v>
      </c>
      <c r="I528" s="1">
        <v>9.8409999999999993</v>
      </c>
      <c r="J528" s="1">
        <v>21.696000000000002</v>
      </c>
      <c r="L528" s="1" t="s">
        <v>31</v>
      </c>
    </row>
    <row r="529" spans="1:12" x14ac:dyDescent="0.25">
      <c r="A529" s="1" t="s">
        <v>1318</v>
      </c>
      <c r="B529" s="1" t="str">
        <f>("125761")</f>
        <v>125761</v>
      </c>
      <c r="C529" s="1" t="str">
        <f>("622454466142")</f>
        <v>622454466142</v>
      </c>
      <c r="D529" s="1" t="s">
        <v>788</v>
      </c>
      <c r="E529" t="s">
        <v>789</v>
      </c>
      <c r="F529" s="3">
        <v>1547.35</v>
      </c>
      <c r="G529" s="1" t="s">
        <v>13</v>
      </c>
      <c r="H529" s="2">
        <v>44621</v>
      </c>
      <c r="I529" s="1">
        <v>17.678999999999998</v>
      </c>
      <c r="J529" s="1">
        <v>38.975000000000001</v>
      </c>
      <c r="L529" s="1" t="s">
        <v>31</v>
      </c>
    </row>
    <row r="530" spans="1:12" x14ac:dyDescent="0.25">
      <c r="A530" s="1" t="s">
        <v>1318</v>
      </c>
      <c r="B530" s="1" t="str">
        <f>("125762")</f>
        <v>125762</v>
      </c>
      <c r="C530" s="1" t="str">
        <f>("622454466159")</f>
        <v>622454466159</v>
      </c>
      <c r="D530" s="1" t="s">
        <v>790</v>
      </c>
      <c r="E530" t="s">
        <v>791</v>
      </c>
      <c r="F530" s="3">
        <v>1396.44</v>
      </c>
      <c r="G530" s="1" t="s">
        <v>13</v>
      </c>
      <c r="H530" s="2">
        <v>44621</v>
      </c>
      <c r="I530" s="1">
        <v>20.306999999999999</v>
      </c>
      <c r="J530" s="1">
        <v>44.768999999999998</v>
      </c>
      <c r="L530" s="1" t="s">
        <v>31</v>
      </c>
    </row>
    <row r="531" spans="1:12" x14ac:dyDescent="0.25">
      <c r="A531" s="1" t="s">
        <v>1318</v>
      </c>
      <c r="B531" s="1" t="str">
        <f>("125763")</f>
        <v>125763</v>
      </c>
      <c r="C531" s="1" t="str">
        <f>("622454466166")</f>
        <v>622454466166</v>
      </c>
      <c r="D531" s="1" t="s">
        <v>792</v>
      </c>
      <c r="E531" t="s">
        <v>793</v>
      </c>
      <c r="F531" s="3">
        <v>1234.6600000000001</v>
      </c>
      <c r="G531" s="1" t="s">
        <v>13</v>
      </c>
      <c r="H531" s="2">
        <v>44621</v>
      </c>
      <c r="I531" s="1">
        <v>28.033000000000001</v>
      </c>
      <c r="J531" s="1">
        <v>61.802</v>
      </c>
      <c r="L531" s="1" t="s">
        <v>31</v>
      </c>
    </row>
    <row r="532" spans="1:12" x14ac:dyDescent="0.25">
      <c r="A532" s="1" t="s">
        <v>1318</v>
      </c>
      <c r="B532" s="1" t="str">
        <f>("125764")</f>
        <v>125764</v>
      </c>
      <c r="C532" s="1" t="str">
        <f>("622454466173")</f>
        <v>622454466173</v>
      </c>
      <c r="D532" s="1" t="s">
        <v>794</v>
      </c>
      <c r="E532" t="s">
        <v>795</v>
      </c>
      <c r="F532" s="3">
        <v>995.95</v>
      </c>
      <c r="G532" s="1" t="s">
        <v>13</v>
      </c>
      <c r="H532" s="2">
        <v>44621</v>
      </c>
      <c r="I532" s="1">
        <v>15.656000000000001</v>
      </c>
      <c r="J532" s="1">
        <v>34.515999999999998</v>
      </c>
      <c r="L532" s="1" t="s">
        <v>31</v>
      </c>
    </row>
    <row r="533" spans="1:12" x14ac:dyDescent="0.25">
      <c r="A533" s="1" t="s">
        <v>1318</v>
      </c>
      <c r="B533" s="1" t="str">
        <f>("125769")</f>
        <v>125769</v>
      </c>
      <c r="C533" s="1" t="str">
        <f>("622454466227")</f>
        <v>622454466227</v>
      </c>
      <c r="D533" s="1" t="s">
        <v>796</v>
      </c>
      <c r="E533" t="s">
        <v>797</v>
      </c>
      <c r="F533" s="3">
        <v>2699.68</v>
      </c>
      <c r="G533" s="1" t="s">
        <v>13</v>
      </c>
      <c r="H533" s="2">
        <v>44621</v>
      </c>
      <c r="I533" s="1">
        <v>29.908000000000001</v>
      </c>
      <c r="J533" s="1">
        <v>65.936000000000007</v>
      </c>
      <c r="L533" s="1" t="s">
        <v>31</v>
      </c>
    </row>
    <row r="534" spans="1:12" x14ac:dyDescent="0.25">
      <c r="A534" s="1" t="s">
        <v>1318</v>
      </c>
      <c r="B534" s="1" t="str">
        <f>("125770")</f>
        <v>125770</v>
      </c>
      <c r="C534" s="1" t="str">
        <f>("622454466234")</f>
        <v>622454466234</v>
      </c>
      <c r="D534" s="1" t="s">
        <v>798</v>
      </c>
      <c r="E534" t="s">
        <v>799</v>
      </c>
      <c r="F534" s="3">
        <v>2528.16</v>
      </c>
      <c r="G534" s="1" t="s">
        <v>13</v>
      </c>
      <c r="H534" s="2">
        <v>44621</v>
      </c>
      <c r="I534" s="1">
        <v>31.785</v>
      </c>
      <c r="J534" s="1">
        <v>70.073999999999998</v>
      </c>
      <c r="L534" s="1" t="s">
        <v>31</v>
      </c>
    </row>
    <row r="535" spans="1:12" x14ac:dyDescent="0.25">
      <c r="A535" s="1" t="s">
        <v>1318</v>
      </c>
      <c r="B535" s="1" t="str">
        <f>("125771")</f>
        <v>125771</v>
      </c>
      <c r="C535" s="1" t="str">
        <f>("622454466241")</f>
        <v>622454466241</v>
      </c>
      <c r="D535" s="1" t="s">
        <v>800</v>
      </c>
      <c r="E535" t="s">
        <v>801</v>
      </c>
      <c r="F535" s="3">
        <v>2319.34</v>
      </c>
      <c r="G535" s="1" t="s">
        <v>13</v>
      </c>
      <c r="H535" s="2">
        <v>44621</v>
      </c>
      <c r="I535" s="1">
        <v>1E-3</v>
      </c>
      <c r="J535" s="1">
        <v>2E-3</v>
      </c>
      <c r="L535" s="1" t="s">
        <v>31</v>
      </c>
    </row>
    <row r="536" spans="1:12" x14ac:dyDescent="0.25">
      <c r="A536" s="1" t="s">
        <v>1318</v>
      </c>
      <c r="B536" s="1" t="str">
        <f>("125772")</f>
        <v>125772</v>
      </c>
      <c r="C536" s="1" t="str">
        <f>("622454466258")</f>
        <v>622454466258</v>
      </c>
      <c r="D536" s="1" t="s">
        <v>802</v>
      </c>
      <c r="E536" t="s">
        <v>803</v>
      </c>
      <c r="F536" s="3">
        <v>2108.0300000000002</v>
      </c>
      <c r="G536" s="1" t="s">
        <v>13</v>
      </c>
      <c r="H536" s="2">
        <v>44621</v>
      </c>
      <c r="I536" s="1">
        <v>1E-3</v>
      </c>
      <c r="J536" s="1">
        <v>2E-3</v>
      </c>
      <c r="L536" s="1" t="s">
        <v>31</v>
      </c>
    </row>
    <row r="537" spans="1:12" x14ac:dyDescent="0.25">
      <c r="A537" s="1" t="s">
        <v>1318</v>
      </c>
      <c r="B537" s="1" t="str">
        <f>("125778")</f>
        <v>125778</v>
      </c>
      <c r="C537" s="1" t="str">
        <f>("622454466319")</f>
        <v>622454466319</v>
      </c>
      <c r="D537" s="1" t="s">
        <v>804</v>
      </c>
      <c r="E537" t="s">
        <v>805</v>
      </c>
      <c r="F537" s="3">
        <v>4203.6499999999996</v>
      </c>
      <c r="G537" s="1" t="s">
        <v>13</v>
      </c>
      <c r="H537" s="2">
        <v>44621</v>
      </c>
      <c r="I537" s="1">
        <v>31.785</v>
      </c>
      <c r="J537" s="1">
        <v>70.073999999999998</v>
      </c>
      <c r="L537" s="1" t="s">
        <v>31</v>
      </c>
    </row>
    <row r="538" spans="1:12" x14ac:dyDescent="0.25">
      <c r="A538" s="1" t="s">
        <v>1318</v>
      </c>
      <c r="B538" s="1" t="str">
        <f>("125779")</f>
        <v>125779</v>
      </c>
      <c r="C538" s="1" t="str">
        <f>("622454466326")</f>
        <v>622454466326</v>
      </c>
      <c r="D538" s="1" t="s">
        <v>806</v>
      </c>
      <c r="E538" t="s">
        <v>807</v>
      </c>
      <c r="F538" s="3">
        <v>4039.59</v>
      </c>
      <c r="G538" s="1" t="s">
        <v>13</v>
      </c>
      <c r="H538" s="2">
        <v>44621</v>
      </c>
      <c r="I538" s="1">
        <v>36.305999999999997</v>
      </c>
      <c r="J538" s="1">
        <v>80.040999999999997</v>
      </c>
      <c r="L538" s="1" t="s">
        <v>31</v>
      </c>
    </row>
    <row r="539" spans="1:12" x14ac:dyDescent="0.25">
      <c r="A539" s="1" t="s">
        <v>1318</v>
      </c>
      <c r="B539" s="1" t="str">
        <f>("125780")</f>
        <v>125780</v>
      </c>
      <c r="C539" s="1" t="str">
        <f>("622454466333")</f>
        <v>622454466333</v>
      </c>
      <c r="D539" s="1" t="s">
        <v>808</v>
      </c>
      <c r="E539" t="s">
        <v>809</v>
      </c>
      <c r="F539" s="3">
        <v>3579.7</v>
      </c>
      <c r="G539" s="1" t="s">
        <v>13</v>
      </c>
      <c r="H539" s="2">
        <v>44621</v>
      </c>
      <c r="I539" s="1">
        <v>51.353000000000002</v>
      </c>
      <c r="J539" s="1">
        <v>113.214</v>
      </c>
      <c r="L539" s="1" t="s">
        <v>31</v>
      </c>
    </row>
    <row r="540" spans="1:12" x14ac:dyDescent="0.25">
      <c r="A540" s="1" t="s">
        <v>1318</v>
      </c>
      <c r="B540" s="1" t="str">
        <f>("125781")</f>
        <v>125781</v>
      </c>
      <c r="C540" s="1" t="str">
        <f>("622454466340")</f>
        <v>622454466340</v>
      </c>
      <c r="D540" s="1" t="s">
        <v>810</v>
      </c>
      <c r="E540" t="s">
        <v>811</v>
      </c>
      <c r="F540" s="3">
        <v>3216.76</v>
      </c>
      <c r="G540" s="1" t="s">
        <v>13</v>
      </c>
      <c r="H540" s="2">
        <v>44621</v>
      </c>
      <c r="I540" s="1">
        <v>30.097999999999999</v>
      </c>
      <c r="J540" s="1">
        <v>66.355000000000004</v>
      </c>
      <c r="L540" s="1" t="s">
        <v>31</v>
      </c>
    </row>
    <row r="541" spans="1:12" x14ac:dyDescent="0.25">
      <c r="A541" s="1" t="s">
        <v>1318</v>
      </c>
      <c r="B541" s="1" t="str">
        <f>("035559")</f>
        <v>035559</v>
      </c>
      <c r="C541" s="1" t="str">
        <f>("622454355590")</f>
        <v>622454355590</v>
      </c>
      <c r="D541" s="1">
        <v>435005</v>
      </c>
      <c r="E541" t="s">
        <v>812</v>
      </c>
      <c r="F541" s="3">
        <v>1.7021276595744683</v>
      </c>
      <c r="G541" s="1" t="s">
        <v>13</v>
      </c>
      <c r="H541" s="2">
        <v>44621</v>
      </c>
      <c r="I541" s="1">
        <v>0.02</v>
      </c>
      <c r="J541" s="1">
        <v>4.3999999999999997E-2</v>
      </c>
      <c r="K541" s="1">
        <v>75</v>
      </c>
      <c r="L541" s="1" t="s">
        <v>14</v>
      </c>
    </row>
    <row r="542" spans="1:12" x14ac:dyDescent="0.25">
      <c r="A542" s="1" t="s">
        <v>1318</v>
      </c>
      <c r="B542" s="1" t="str">
        <f>("035560")</f>
        <v>035560</v>
      </c>
      <c r="C542" s="1" t="str">
        <f>("622454355606")</f>
        <v>622454355606</v>
      </c>
      <c r="D542" s="1">
        <v>435007</v>
      </c>
      <c r="E542" t="s">
        <v>813</v>
      </c>
      <c r="F542" s="3">
        <v>2.1489361702127661</v>
      </c>
      <c r="G542" s="1" t="s">
        <v>13</v>
      </c>
      <c r="H542" s="2">
        <v>44621</v>
      </c>
      <c r="I542" s="1">
        <v>2.5000000000000001E-2</v>
      </c>
      <c r="J542" s="1">
        <v>5.5E-2</v>
      </c>
      <c r="K542" s="1">
        <v>60</v>
      </c>
      <c r="L542" s="1" t="s">
        <v>14</v>
      </c>
    </row>
    <row r="543" spans="1:12" x14ac:dyDescent="0.25">
      <c r="A543" s="1" t="s">
        <v>1318</v>
      </c>
      <c r="B543" s="1" t="str">
        <f>("035561")</f>
        <v>035561</v>
      </c>
      <c r="C543" s="1" t="str">
        <f>("622454355613")</f>
        <v>622454355613</v>
      </c>
      <c r="D543" s="1">
        <v>435010</v>
      </c>
      <c r="E543" t="s">
        <v>814</v>
      </c>
      <c r="F543" s="3">
        <v>2.521276595744681</v>
      </c>
      <c r="G543" s="1" t="s">
        <v>13</v>
      </c>
      <c r="H543" s="2">
        <v>44621</v>
      </c>
      <c r="I543" s="1">
        <v>4.9000000000000002E-2</v>
      </c>
      <c r="J543" s="1">
        <v>0.108</v>
      </c>
      <c r="K543" s="1">
        <v>40</v>
      </c>
      <c r="L543" s="1" t="s">
        <v>14</v>
      </c>
    </row>
    <row r="544" spans="1:12" x14ac:dyDescent="0.25">
      <c r="A544" s="1" t="s">
        <v>1318</v>
      </c>
      <c r="B544" s="1" t="str">
        <f>("035562")</f>
        <v>035562</v>
      </c>
      <c r="C544" s="1" t="str">
        <f>("622454355620")</f>
        <v>622454355620</v>
      </c>
      <c r="D544" s="1">
        <v>435012</v>
      </c>
      <c r="E544" t="s">
        <v>815</v>
      </c>
      <c r="F544" s="3">
        <v>3.9042553191489362</v>
      </c>
      <c r="G544" s="1" t="s">
        <v>13</v>
      </c>
      <c r="H544" s="2">
        <v>44621</v>
      </c>
      <c r="I544" s="1">
        <v>6.3E-2</v>
      </c>
      <c r="J544" s="1">
        <v>0.13900000000000001</v>
      </c>
      <c r="K544" s="1">
        <v>25</v>
      </c>
      <c r="L544" s="1" t="s">
        <v>14</v>
      </c>
    </row>
    <row r="545" spans="1:12" x14ac:dyDescent="0.25">
      <c r="A545" s="1" t="s">
        <v>1318</v>
      </c>
      <c r="B545" s="1" t="str">
        <f>("035563")</f>
        <v>035563</v>
      </c>
      <c r="C545" s="1" t="str">
        <f>("622454355637")</f>
        <v>622454355637</v>
      </c>
      <c r="D545" s="1">
        <v>435015</v>
      </c>
      <c r="E545" t="s">
        <v>816</v>
      </c>
      <c r="F545" s="3">
        <v>4.4361702127659575</v>
      </c>
      <c r="G545" s="1" t="s">
        <v>13</v>
      </c>
      <c r="H545" s="2">
        <v>44621</v>
      </c>
      <c r="I545" s="1">
        <v>7.0000000000000007E-2</v>
      </c>
      <c r="J545" s="1">
        <v>0.154</v>
      </c>
      <c r="K545" s="1">
        <v>25</v>
      </c>
      <c r="L545" s="1" t="s">
        <v>14</v>
      </c>
    </row>
    <row r="546" spans="1:12" x14ac:dyDescent="0.25">
      <c r="A546" s="1" t="s">
        <v>1318</v>
      </c>
      <c r="B546" s="1" t="str">
        <f>("035564")</f>
        <v>035564</v>
      </c>
      <c r="C546" s="1" t="str">
        <f>("622454355644")</f>
        <v>622454355644</v>
      </c>
      <c r="D546" s="1">
        <v>435020</v>
      </c>
      <c r="E546" t="s">
        <v>817</v>
      </c>
      <c r="F546" s="3">
        <v>5.9787234042553195</v>
      </c>
      <c r="G546" s="1" t="s">
        <v>13</v>
      </c>
      <c r="H546" s="2">
        <v>44621</v>
      </c>
      <c r="I546" s="1">
        <v>0.104</v>
      </c>
      <c r="J546" s="1">
        <v>0.22900000000000001</v>
      </c>
      <c r="K546" s="1">
        <v>20</v>
      </c>
      <c r="L546" s="1" t="s">
        <v>14</v>
      </c>
    </row>
    <row r="547" spans="1:12" x14ac:dyDescent="0.25">
      <c r="A547" s="1" t="s">
        <v>1318</v>
      </c>
      <c r="B547" s="1" t="str">
        <f>("035565")</f>
        <v>035565</v>
      </c>
      <c r="C547" s="1" t="str">
        <f>("622454355651")</f>
        <v>622454355651</v>
      </c>
      <c r="D547" s="1">
        <v>435025</v>
      </c>
      <c r="E547" t="s">
        <v>818</v>
      </c>
      <c r="F547" s="3">
        <v>15.085106382978724</v>
      </c>
      <c r="G547" s="1" t="s">
        <v>13</v>
      </c>
      <c r="H547" s="2">
        <v>44621</v>
      </c>
      <c r="I547" s="1">
        <v>0.23300000000000001</v>
      </c>
      <c r="J547" s="1">
        <v>0.51400000000000001</v>
      </c>
      <c r="K547" s="1">
        <v>10</v>
      </c>
      <c r="L547" s="1" t="s">
        <v>14</v>
      </c>
    </row>
    <row r="548" spans="1:12" x14ac:dyDescent="0.25">
      <c r="A548" s="1" t="s">
        <v>1318</v>
      </c>
      <c r="B548" s="1" t="str">
        <f>("035566")</f>
        <v>035566</v>
      </c>
      <c r="C548" s="1" t="str">
        <f>("622454355668")</f>
        <v>622454355668</v>
      </c>
      <c r="D548" s="1">
        <v>435030</v>
      </c>
      <c r="E548" t="s">
        <v>819</v>
      </c>
      <c r="F548" s="3">
        <v>20.329787234042552</v>
      </c>
      <c r="G548" s="1" t="s">
        <v>13</v>
      </c>
      <c r="H548" s="2">
        <v>44621</v>
      </c>
      <c r="I548" s="1">
        <v>0.31</v>
      </c>
      <c r="J548" s="1">
        <v>0.68300000000000005</v>
      </c>
      <c r="K548" s="1">
        <v>10</v>
      </c>
      <c r="L548" s="1" t="s">
        <v>14</v>
      </c>
    </row>
    <row r="549" spans="1:12" x14ac:dyDescent="0.25">
      <c r="A549" s="1" t="s">
        <v>1318</v>
      </c>
      <c r="B549" s="1" t="str">
        <f>("035567")</f>
        <v>035567</v>
      </c>
      <c r="C549" s="1" t="str">
        <f>("622454355675")</f>
        <v>622454355675</v>
      </c>
      <c r="D549" s="1">
        <v>435040</v>
      </c>
      <c r="E549" t="s">
        <v>820</v>
      </c>
      <c r="F549" s="3">
        <v>33.691489361702132</v>
      </c>
      <c r="G549" s="1" t="s">
        <v>13</v>
      </c>
      <c r="H549" s="2">
        <v>44621</v>
      </c>
      <c r="I549" s="1">
        <v>0.4</v>
      </c>
      <c r="J549" s="1">
        <v>0.88200000000000001</v>
      </c>
      <c r="K549" s="1">
        <v>10</v>
      </c>
      <c r="L549" s="1" t="s">
        <v>14</v>
      </c>
    </row>
    <row r="550" spans="1:12" x14ac:dyDescent="0.25">
      <c r="A550" s="1" t="s">
        <v>1318</v>
      </c>
      <c r="B550" s="1" t="str">
        <f>("035568")</f>
        <v>035568</v>
      </c>
      <c r="C550" s="1" t="str">
        <f>("622454355682")</f>
        <v>622454355682</v>
      </c>
      <c r="D550" s="1">
        <v>435050</v>
      </c>
      <c r="E550" t="s">
        <v>821</v>
      </c>
      <c r="F550" s="3">
        <v>87.2340425531915</v>
      </c>
      <c r="G550" s="1" t="s">
        <v>13</v>
      </c>
      <c r="H550" s="2">
        <v>44621</v>
      </c>
      <c r="I550" s="1">
        <v>0.747</v>
      </c>
      <c r="J550" s="1">
        <v>1.647</v>
      </c>
      <c r="K550" s="1">
        <v>5</v>
      </c>
      <c r="L550" s="1" t="s">
        <v>14</v>
      </c>
    </row>
    <row r="551" spans="1:12" x14ac:dyDescent="0.25">
      <c r="A551" s="1" t="s">
        <v>1318</v>
      </c>
      <c r="B551" s="1" t="str">
        <f>("035569")</f>
        <v>035569</v>
      </c>
      <c r="C551" s="1" t="str">
        <f>("622454355699")</f>
        <v>622454355699</v>
      </c>
      <c r="D551" s="1">
        <v>435060</v>
      </c>
      <c r="E551" t="s">
        <v>822</v>
      </c>
      <c r="F551" s="3">
        <v>123.98936170212767</v>
      </c>
      <c r="G551" s="1" t="s">
        <v>13</v>
      </c>
      <c r="H551" s="2">
        <v>44621</v>
      </c>
      <c r="I551" s="1">
        <v>0.92500000000000004</v>
      </c>
      <c r="J551" s="1">
        <v>2.0390000000000001</v>
      </c>
      <c r="K551" s="1">
        <v>10</v>
      </c>
      <c r="L551" s="1" t="s">
        <v>14</v>
      </c>
    </row>
    <row r="552" spans="1:12" x14ac:dyDescent="0.25">
      <c r="A552" s="1" t="s">
        <v>1318</v>
      </c>
      <c r="B552" s="1" t="str">
        <f>("035570")</f>
        <v>035570</v>
      </c>
      <c r="C552" s="1" t="str">
        <f>("622454355705")</f>
        <v>622454355705</v>
      </c>
      <c r="D552" s="1">
        <v>435080</v>
      </c>
      <c r="E552" t="s">
        <v>823</v>
      </c>
      <c r="F552" s="3">
        <v>233.77659574468086</v>
      </c>
      <c r="G552" s="1" t="s">
        <v>13</v>
      </c>
      <c r="H552" s="2">
        <v>44621</v>
      </c>
      <c r="I552" s="1">
        <v>1.724</v>
      </c>
      <c r="J552" s="1">
        <v>3.8010000000000002</v>
      </c>
      <c r="K552" s="1">
        <v>2</v>
      </c>
      <c r="L552" s="1" t="s">
        <v>14</v>
      </c>
    </row>
    <row r="553" spans="1:12" x14ac:dyDescent="0.25">
      <c r="A553" s="1" t="s">
        <v>1318</v>
      </c>
      <c r="B553" s="1" t="str">
        <f>("125532")</f>
        <v>125532</v>
      </c>
      <c r="C553" s="1" t="str">
        <f>("622454463660")</f>
        <v>622454463660</v>
      </c>
      <c r="D553" s="1" t="s">
        <v>824</v>
      </c>
      <c r="E553" t="s">
        <v>825</v>
      </c>
      <c r="F553" s="3">
        <v>186.45</v>
      </c>
      <c r="G553" s="1" t="s">
        <v>13</v>
      </c>
      <c r="H553" s="2">
        <v>44621</v>
      </c>
      <c r="I553" s="1">
        <v>2.4590000000000001</v>
      </c>
      <c r="J553" s="1">
        <v>5.4210000000000003</v>
      </c>
      <c r="L553" s="1" t="s">
        <v>31</v>
      </c>
    </row>
    <row r="554" spans="1:12" x14ac:dyDescent="0.25">
      <c r="A554" s="1" t="s">
        <v>1318</v>
      </c>
      <c r="B554" s="1" t="str">
        <f>("125541")</f>
        <v>125541</v>
      </c>
      <c r="C554" s="1" t="str">
        <f>("622454463752")</f>
        <v>622454463752</v>
      </c>
      <c r="D554" s="1" t="s">
        <v>826</v>
      </c>
      <c r="E554" t="s">
        <v>827</v>
      </c>
      <c r="F554" s="3">
        <v>303.77999999999997</v>
      </c>
      <c r="G554" s="1" t="s">
        <v>13</v>
      </c>
      <c r="H554" s="2">
        <v>44621</v>
      </c>
      <c r="I554" s="1">
        <v>4.7110000000000003</v>
      </c>
      <c r="J554" s="1">
        <v>10.385999999999999</v>
      </c>
      <c r="K554" s="1">
        <v>2</v>
      </c>
      <c r="L554" s="1" t="s">
        <v>31</v>
      </c>
    </row>
    <row r="555" spans="1:12" x14ac:dyDescent="0.25">
      <c r="A555" s="1" t="s">
        <v>1318</v>
      </c>
      <c r="B555" s="1" t="str">
        <f>("125548")</f>
        <v>125548</v>
      </c>
      <c r="C555" s="1" t="str">
        <f>("622454463820")</f>
        <v>622454463820</v>
      </c>
      <c r="D555" s="1" t="s">
        <v>828</v>
      </c>
      <c r="E555" t="s">
        <v>829</v>
      </c>
      <c r="F555" s="3">
        <v>452.65</v>
      </c>
      <c r="G555" s="1" t="s">
        <v>13</v>
      </c>
      <c r="H555" s="2">
        <v>44621</v>
      </c>
      <c r="I555" s="1">
        <v>7.1390000000000002</v>
      </c>
      <c r="J555" s="1">
        <v>15.739000000000001</v>
      </c>
      <c r="K555" s="1">
        <v>1</v>
      </c>
      <c r="L555" s="1" t="s">
        <v>31</v>
      </c>
    </row>
    <row r="556" spans="1:12" x14ac:dyDescent="0.25">
      <c r="A556" s="1" t="s">
        <v>1318</v>
      </c>
      <c r="B556" s="1" t="str">
        <f>("125530")</f>
        <v>125530</v>
      </c>
      <c r="C556" s="1" t="str">
        <f>("622454463646")</f>
        <v>622454463646</v>
      </c>
      <c r="D556" s="1" t="s">
        <v>830</v>
      </c>
      <c r="E556" t="s">
        <v>831</v>
      </c>
      <c r="F556" s="3">
        <v>98.47</v>
      </c>
      <c r="G556" s="1" t="s">
        <v>13</v>
      </c>
      <c r="H556" s="2">
        <v>44621</v>
      </c>
      <c r="I556" s="1">
        <v>1.325</v>
      </c>
      <c r="J556" s="1">
        <v>2.9209999999999998</v>
      </c>
      <c r="L556" s="1" t="s">
        <v>31</v>
      </c>
    </row>
    <row r="557" spans="1:12" x14ac:dyDescent="0.25">
      <c r="A557" s="1" t="s">
        <v>1318</v>
      </c>
      <c r="B557" s="1" t="str">
        <f>("125538")</f>
        <v>125538</v>
      </c>
      <c r="C557" s="1" t="str">
        <f>("622454463721")</f>
        <v>622454463721</v>
      </c>
      <c r="D557" s="1" t="s">
        <v>832</v>
      </c>
      <c r="E557" t="s">
        <v>833</v>
      </c>
      <c r="F557" s="3">
        <v>186.45</v>
      </c>
      <c r="G557" s="1" t="s">
        <v>13</v>
      </c>
      <c r="H557" s="2">
        <v>44621</v>
      </c>
      <c r="I557" s="1">
        <v>2.5539999999999998</v>
      </c>
      <c r="J557" s="1">
        <v>5.6310000000000002</v>
      </c>
      <c r="L557" s="1" t="s">
        <v>31</v>
      </c>
    </row>
    <row r="558" spans="1:12" x14ac:dyDescent="0.25">
      <c r="A558" s="1" t="s">
        <v>1318</v>
      </c>
      <c r="B558" s="1" t="str">
        <f>("125545")</f>
        <v>125545</v>
      </c>
      <c r="C558" s="1" t="str">
        <f>("622454463790")</f>
        <v>622454463790</v>
      </c>
      <c r="D558" s="1" t="s">
        <v>834</v>
      </c>
      <c r="E558" t="s">
        <v>835</v>
      </c>
      <c r="F558" s="3">
        <v>303.77999999999997</v>
      </c>
      <c r="G558" s="1" t="s">
        <v>13</v>
      </c>
      <c r="H558" s="2">
        <v>44621</v>
      </c>
      <c r="I558" s="1">
        <v>4.4989999999999997</v>
      </c>
      <c r="J558" s="1">
        <v>9.9190000000000005</v>
      </c>
      <c r="L558" s="1" t="s">
        <v>31</v>
      </c>
    </row>
    <row r="559" spans="1:12" x14ac:dyDescent="0.25">
      <c r="A559" s="1" t="s">
        <v>1318</v>
      </c>
      <c r="B559" s="1" t="str">
        <f>("125552")</f>
        <v>125552</v>
      </c>
      <c r="C559" s="1" t="str">
        <f>("622454463868")</f>
        <v>622454463868</v>
      </c>
      <c r="D559" s="1" t="s">
        <v>836</v>
      </c>
      <c r="E559" t="s">
        <v>837</v>
      </c>
      <c r="F559" s="3">
        <v>452.65</v>
      </c>
      <c r="G559" s="1" t="s">
        <v>13</v>
      </c>
      <c r="H559" s="2">
        <v>44621</v>
      </c>
      <c r="I559" s="1">
        <v>7.3609999999999998</v>
      </c>
      <c r="J559" s="1">
        <v>16.228000000000002</v>
      </c>
      <c r="L559" s="1" t="s">
        <v>31</v>
      </c>
    </row>
    <row r="560" spans="1:12" x14ac:dyDescent="0.25">
      <c r="A560" s="1" t="s">
        <v>1318</v>
      </c>
      <c r="B560" s="1" t="str">
        <f>("035571")</f>
        <v>035571</v>
      </c>
      <c r="C560" s="1" t="str">
        <f>("622454355712")</f>
        <v>622454355712</v>
      </c>
      <c r="D560" s="1">
        <v>435072</v>
      </c>
      <c r="E560" t="s">
        <v>838</v>
      </c>
      <c r="F560" s="3">
        <v>3.0531914893617023</v>
      </c>
      <c r="G560" s="1" t="s">
        <v>13</v>
      </c>
      <c r="H560" s="2">
        <v>44621</v>
      </c>
      <c r="I560" s="1">
        <v>1.4E-2</v>
      </c>
      <c r="J560" s="1">
        <v>3.1E-2</v>
      </c>
      <c r="K560" s="1">
        <v>50</v>
      </c>
      <c r="L560" s="1" t="s">
        <v>14</v>
      </c>
    </row>
    <row r="561" spans="1:12" x14ac:dyDescent="0.25">
      <c r="A561" s="1" t="s">
        <v>1318</v>
      </c>
      <c r="B561" s="1" t="str">
        <f>("035951")</f>
        <v>035951</v>
      </c>
      <c r="C561" s="1" t="str">
        <f>("622454359512")</f>
        <v>622454359512</v>
      </c>
      <c r="D561" s="1">
        <v>435073</v>
      </c>
      <c r="E561" t="s">
        <v>839</v>
      </c>
      <c r="F561" s="3">
        <v>3.0531914893617023</v>
      </c>
      <c r="G561" s="1" t="s">
        <v>13</v>
      </c>
      <c r="H561" s="2">
        <v>44621</v>
      </c>
      <c r="I561" s="1">
        <v>1.7999999999999999E-2</v>
      </c>
      <c r="J561" s="1">
        <v>0.04</v>
      </c>
      <c r="K561" s="1">
        <v>50</v>
      </c>
      <c r="L561" s="1" t="s">
        <v>14</v>
      </c>
    </row>
    <row r="562" spans="1:12" x14ac:dyDescent="0.25">
      <c r="A562" s="1" t="s">
        <v>1318</v>
      </c>
      <c r="B562" s="1" t="str">
        <f>("035572")</f>
        <v>035572</v>
      </c>
      <c r="C562" s="1" t="str">
        <f>("622454355729")</f>
        <v>622454355729</v>
      </c>
      <c r="D562" s="1">
        <v>435074</v>
      </c>
      <c r="E562" t="s">
        <v>840</v>
      </c>
      <c r="F562" s="3">
        <v>3.0531914893617023</v>
      </c>
      <c r="G562" s="1" t="s">
        <v>13</v>
      </c>
      <c r="H562" s="2">
        <v>44621</v>
      </c>
      <c r="I562" s="1">
        <v>2.5999999999999999E-2</v>
      </c>
      <c r="J562" s="1">
        <v>5.7000000000000002E-2</v>
      </c>
      <c r="K562" s="1">
        <v>50</v>
      </c>
      <c r="L562" s="1" t="s">
        <v>14</v>
      </c>
    </row>
    <row r="563" spans="1:12" x14ac:dyDescent="0.25">
      <c r="A563" s="1" t="s">
        <v>1318</v>
      </c>
      <c r="B563" s="1" t="str">
        <f>("035992")</f>
        <v>035992</v>
      </c>
      <c r="C563" s="1" t="str">
        <f>("622454359925")</f>
        <v>622454359925</v>
      </c>
      <c r="D563" s="1">
        <v>435101</v>
      </c>
      <c r="E563" t="s">
        <v>841</v>
      </c>
      <c r="F563" s="3">
        <v>3.0531914893617023</v>
      </c>
      <c r="G563" s="1" t="s">
        <v>13</v>
      </c>
      <c r="H563" s="2">
        <v>44621</v>
      </c>
      <c r="I563" s="1">
        <v>1.4E-2</v>
      </c>
      <c r="J563" s="1">
        <v>3.1E-2</v>
      </c>
      <c r="K563" s="1">
        <v>50</v>
      </c>
      <c r="L563" s="1" t="s">
        <v>14</v>
      </c>
    </row>
    <row r="564" spans="1:12" x14ac:dyDescent="0.25">
      <c r="A564" s="1" t="s">
        <v>1318</v>
      </c>
      <c r="B564" s="1" t="str">
        <f>("035990")</f>
        <v>035990</v>
      </c>
      <c r="C564" s="1" t="str">
        <f>("622454359901")</f>
        <v>622454359901</v>
      </c>
      <c r="D564" s="1">
        <v>435102</v>
      </c>
      <c r="E564" t="s">
        <v>842</v>
      </c>
      <c r="F564" s="3">
        <v>4.0744680851063837</v>
      </c>
      <c r="G564" s="1" t="s">
        <v>13</v>
      </c>
      <c r="H564" s="2">
        <v>44621</v>
      </c>
      <c r="I564" s="1">
        <v>0.04</v>
      </c>
      <c r="J564" s="1">
        <v>8.7999999999999995E-2</v>
      </c>
      <c r="K564" s="1">
        <v>50</v>
      </c>
      <c r="L564" s="1" t="s">
        <v>14</v>
      </c>
    </row>
    <row r="565" spans="1:12" x14ac:dyDescent="0.25">
      <c r="A565" s="1" t="s">
        <v>1318</v>
      </c>
      <c r="B565" s="1" t="str">
        <f>("035958")</f>
        <v>035958</v>
      </c>
      <c r="C565" s="1" t="str">
        <f>("622454359581")</f>
        <v>622454359581</v>
      </c>
      <c r="D565" s="1">
        <v>435131</v>
      </c>
      <c r="E565" t="s">
        <v>843</v>
      </c>
      <c r="F565" s="3">
        <v>4.0744680851063837</v>
      </c>
      <c r="G565" s="1" t="s">
        <v>13</v>
      </c>
      <c r="H565" s="2">
        <v>44621</v>
      </c>
      <c r="I565" s="1">
        <v>3.2000000000000001E-2</v>
      </c>
      <c r="J565" s="1">
        <v>7.0999999999999994E-2</v>
      </c>
      <c r="K565" s="1">
        <v>50</v>
      </c>
      <c r="L565" s="1" t="s">
        <v>14</v>
      </c>
    </row>
    <row r="566" spans="1:12" x14ac:dyDescent="0.25">
      <c r="A566" s="1" t="s">
        <v>1318</v>
      </c>
      <c r="B566" s="1" t="str">
        <f>("035934")</f>
        <v>035934</v>
      </c>
      <c r="C566" s="1" t="str">
        <f>("622454359345")</f>
        <v>622454359345</v>
      </c>
      <c r="D566" s="1">
        <v>436003</v>
      </c>
      <c r="E566" t="s">
        <v>844</v>
      </c>
      <c r="F566" s="3">
        <v>5.1914893617021276</v>
      </c>
      <c r="G566" s="1" t="s">
        <v>13</v>
      </c>
      <c r="H566" s="2">
        <v>44621</v>
      </c>
      <c r="I566" s="1">
        <v>8.9999999999999993E-3</v>
      </c>
      <c r="J566" s="1">
        <v>0.02</v>
      </c>
      <c r="K566" s="1">
        <v>50</v>
      </c>
      <c r="L566" s="1" t="s">
        <v>14</v>
      </c>
    </row>
    <row r="567" spans="1:12" x14ac:dyDescent="0.25">
      <c r="A567" s="1" t="s">
        <v>1318</v>
      </c>
      <c r="B567" s="1" t="str">
        <f>("035602")</f>
        <v>035602</v>
      </c>
      <c r="C567" s="1" t="str">
        <f>("622454356023")</f>
        <v>622454356023</v>
      </c>
      <c r="D567" s="1">
        <v>436005</v>
      </c>
      <c r="E567" t="s">
        <v>845</v>
      </c>
      <c r="F567" s="3">
        <v>1.3936170212765959</v>
      </c>
      <c r="G567" s="1" t="s">
        <v>13</v>
      </c>
      <c r="H567" s="2">
        <v>44621</v>
      </c>
      <c r="I567" s="1">
        <v>2.1000000000000001E-2</v>
      </c>
      <c r="J567" s="1">
        <v>4.5999999999999999E-2</v>
      </c>
      <c r="K567" s="1">
        <v>100</v>
      </c>
      <c r="L567" s="1" t="s">
        <v>14</v>
      </c>
    </row>
    <row r="568" spans="1:12" x14ac:dyDescent="0.25">
      <c r="A568" s="1" t="s">
        <v>1318</v>
      </c>
      <c r="B568" s="1" t="str">
        <f>("035603")</f>
        <v>035603</v>
      </c>
      <c r="C568" s="1" t="str">
        <f>("622454356030")</f>
        <v>622454356030</v>
      </c>
      <c r="D568" s="1">
        <v>436007</v>
      </c>
      <c r="E568" t="s">
        <v>846</v>
      </c>
      <c r="F568" s="3">
        <v>1.5212765957446808</v>
      </c>
      <c r="G568" s="1" t="s">
        <v>13</v>
      </c>
      <c r="H568" s="2">
        <v>44621</v>
      </c>
      <c r="I568" s="1">
        <v>2.3E-2</v>
      </c>
      <c r="J568" s="1">
        <v>5.0999999999999997E-2</v>
      </c>
      <c r="K568" s="1">
        <v>60</v>
      </c>
      <c r="L568" s="1" t="s">
        <v>14</v>
      </c>
    </row>
    <row r="569" spans="1:12" x14ac:dyDescent="0.25">
      <c r="A569" s="1" t="s">
        <v>1318</v>
      </c>
      <c r="B569" s="1" t="str">
        <f>("035604")</f>
        <v>035604</v>
      </c>
      <c r="C569" s="1" t="str">
        <f>("622454356047")</f>
        <v>622454356047</v>
      </c>
      <c r="D569" s="1">
        <v>436010</v>
      </c>
      <c r="E569" t="s">
        <v>847</v>
      </c>
      <c r="F569" s="3">
        <v>2.7340425531914891</v>
      </c>
      <c r="G569" s="1" t="s">
        <v>13</v>
      </c>
      <c r="H569" s="2">
        <v>44621</v>
      </c>
      <c r="I569" s="1">
        <v>3.7999999999999999E-2</v>
      </c>
      <c r="J569" s="1">
        <v>8.4000000000000005E-2</v>
      </c>
      <c r="K569" s="1">
        <v>50</v>
      </c>
      <c r="L569" s="1" t="s">
        <v>14</v>
      </c>
    </row>
    <row r="570" spans="1:12" x14ac:dyDescent="0.25">
      <c r="A570" s="1" t="s">
        <v>1318</v>
      </c>
      <c r="B570" s="1" t="str">
        <f>("035605")</f>
        <v>035605</v>
      </c>
      <c r="C570" s="1" t="str">
        <f>("622454356054")</f>
        <v>622454356054</v>
      </c>
      <c r="D570" s="1">
        <v>436012</v>
      </c>
      <c r="E570" t="s">
        <v>848</v>
      </c>
      <c r="F570" s="3">
        <v>3.3297872340425534</v>
      </c>
      <c r="G570" s="1" t="s">
        <v>13</v>
      </c>
      <c r="H570" s="2">
        <v>44621</v>
      </c>
      <c r="I570" s="1">
        <v>5.1999999999999998E-2</v>
      </c>
      <c r="J570" s="1">
        <v>0.115</v>
      </c>
      <c r="K570" s="1">
        <v>25</v>
      </c>
      <c r="L570" s="1" t="s">
        <v>14</v>
      </c>
    </row>
    <row r="571" spans="1:12" x14ac:dyDescent="0.25">
      <c r="A571" s="1" t="s">
        <v>1318</v>
      </c>
      <c r="B571" s="1" t="str">
        <f>("035606")</f>
        <v>035606</v>
      </c>
      <c r="C571" s="1" t="str">
        <f>("622454356061")</f>
        <v>622454356061</v>
      </c>
      <c r="D571" s="1">
        <v>436015</v>
      </c>
      <c r="E571" t="s">
        <v>849</v>
      </c>
      <c r="F571" s="3">
        <v>4.4361702127659575</v>
      </c>
      <c r="G571" s="1" t="s">
        <v>13</v>
      </c>
      <c r="H571" s="2">
        <v>44621</v>
      </c>
      <c r="I571" s="1">
        <v>7.0000000000000007E-2</v>
      </c>
      <c r="J571" s="1">
        <v>0.154</v>
      </c>
      <c r="K571" s="1">
        <v>25</v>
      </c>
      <c r="L571" s="1" t="s">
        <v>14</v>
      </c>
    </row>
    <row r="572" spans="1:12" x14ac:dyDescent="0.25">
      <c r="A572" s="1" t="s">
        <v>1318</v>
      </c>
      <c r="B572" s="1" t="str">
        <f>("035607")</f>
        <v>035607</v>
      </c>
      <c r="C572" s="1" t="str">
        <f>("622454356078")</f>
        <v>622454356078</v>
      </c>
      <c r="D572" s="1">
        <v>436020</v>
      </c>
      <c r="E572" t="s">
        <v>850</v>
      </c>
      <c r="F572" s="3">
        <v>5.8510638297872344</v>
      </c>
      <c r="G572" s="1" t="s">
        <v>13</v>
      </c>
      <c r="H572" s="2">
        <v>44621</v>
      </c>
      <c r="I572" s="1">
        <v>9.2999999999999999E-2</v>
      </c>
      <c r="J572" s="1">
        <v>0.20499999999999999</v>
      </c>
      <c r="K572" s="1">
        <v>25</v>
      </c>
      <c r="L572" s="1" t="s">
        <v>14</v>
      </c>
    </row>
    <row r="573" spans="1:12" x14ac:dyDescent="0.25">
      <c r="A573" s="1" t="s">
        <v>1318</v>
      </c>
      <c r="B573" s="1" t="str">
        <f>("035608")</f>
        <v>035608</v>
      </c>
      <c r="C573" s="1" t="str">
        <f>("622454356085")</f>
        <v>622454356085</v>
      </c>
      <c r="D573" s="1">
        <v>436025</v>
      </c>
      <c r="E573" t="s">
        <v>851</v>
      </c>
      <c r="F573" s="3">
        <v>17.223404255319153</v>
      </c>
      <c r="G573" s="1" t="s">
        <v>13</v>
      </c>
      <c r="H573" s="2">
        <v>44621</v>
      </c>
      <c r="I573" s="1">
        <v>0.186</v>
      </c>
      <c r="J573" s="1">
        <v>0.41</v>
      </c>
      <c r="K573" s="1">
        <v>10</v>
      </c>
      <c r="L573" s="1" t="s">
        <v>14</v>
      </c>
    </row>
    <row r="574" spans="1:12" x14ac:dyDescent="0.25">
      <c r="A574" s="1" t="s">
        <v>1318</v>
      </c>
      <c r="B574" s="1" t="str">
        <f>("035609")</f>
        <v>035609</v>
      </c>
      <c r="C574" s="1" t="str">
        <f>("622454356092")</f>
        <v>622454356092</v>
      </c>
      <c r="D574" s="1">
        <v>436030</v>
      </c>
      <c r="E574" t="s">
        <v>852</v>
      </c>
      <c r="F574" s="3">
        <v>25.23404255319149</v>
      </c>
      <c r="G574" s="1" t="s">
        <v>13</v>
      </c>
      <c r="H574" s="2">
        <v>44621</v>
      </c>
      <c r="I574" s="1">
        <v>0.24</v>
      </c>
      <c r="J574" s="1">
        <v>0.52900000000000003</v>
      </c>
      <c r="K574" s="1">
        <v>10</v>
      </c>
      <c r="L574" s="1" t="s">
        <v>14</v>
      </c>
    </row>
    <row r="575" spans="1:12" x14ac:dyDescent="0.25">
      <c r="A575" s="1" t="s">
        <v>1318</v>
      </c>
      <c r="B575" s="1" t="str">
        <f>("035610")</f>
        <v>035610</v>
      </c>
      <c r="C575" s="1" t="str">
        <f>("622454356108")</f>
        <v>622454356108</v>
      </c>
      <c r="D575" s="1">
        <v>436040</v>
      </c>
      <c r="E575" t="s">
        <v>853</v>
      </c>
      <c r="F575" s="3">
        <v>32.180851063829792</v>
      </c>
      <c r="G575" s="1" t="s">
        <v>13</v>
      </c>
      <c r="H575" s="2">
        <v>44621</v>
      </c>
      <c r="I575" s="1">
        <v>0.49</v>
      </c>
      <c r="J575" s="1">
        <v>1.08</v>
      </c>
      <c r="K575" s="1">
        <v>10</v>
      </c>
      <c r="L575" s="1" t="s">
        <v>14</v>
      </c>
    </row>
    <row r="576" spans="1:12" x14ac:dyDescent="0.25">
      <c r="A576" s="1" t="s">
        <v>1318</v>
      </c>
      <c r="B576" s="1" t="str">
        <f>("035611")</f>
        <v>035611</v>
      </c>
      <c r="C576" s="1" t="str">
        <f>("622454356115")</f>
        <v>622454356115</v>
      </c>
      <c r="D576" s="1">
        <v>436050</v>
      </c>
      <c r="E576" t="s">
        <v>854</v>
      </c>
      <c r="F576" s="3">
        <v>53.01063829787234</v>
      </c>
      <c r="G576" s="1" t="s">
        <v>13</v>
      </c>
      <c r="H576" s="2">
        <v>44621</v>
      </c>
      <c r="I576" s="1">
        <v>0.63500000000000001</v>
      </c>
      <c r="J576" s="1">
        <v>1.4</v>
      </c>
      <c r="K576" s="1">
        <v>5</v>
      </c>
      <c r="L576" s="1" t="s">
        <v>14</v>
      </c>
    </row>
    <row r="577" spans="1:12" x14ac:dyDescent="0.25">
      <c r="A577" s="1" t="s">
        <v>1318</v>
      </c>
      <c r="B577" s="1" t="str">
        <f>("035612")</f>
        <v>035612</v>
      </c>
      <c r="C577" s="1" t="str">
        <f>("622454356122")</f>
        <v>622454356122</v>
      </c>
      <c r="D577" s="1">
        <v>436060</v>
      </c>
      <c r="E577" t="s">
        <v>855</v>
      </c>
      <c r="F577" s="3">
        <v>83.88297872340425</v>
      </c>
      <c r="G577" s="1" t="s">
        <v>13</v>
      </c>
      <c r="H577" s="2">
        <v>44621</v>
      </c>
      <c r="I577" s="1">
        <v>1.0269999999999999</v>
      </c>
      <c r="J577" s="1">
        <v>2.2639999999999998</v>
      </c>
      <c r="K577" s="1">
        <v>10</v>
      </c>
      <c r="L577" s="1" t="s">
        <v>14</v>
      </c>
    </row>
    <row r="578" spans="1:12" x14ac:dyDescent="0.25">
      <c r="A578" s="1" t="s">
        <v>1318</v>
      </c>
      <c r="B578" s="1" t="str">
        <f>("035613")</f>
        <v>035613</v>
      </c>
      <c r="C578" s="1" t="str">
        <f>("622454356139")</f>
        <v>622454356139</v>
      </c>
      <c r="D578" s="1">
        <v>436080</v>
      </c>
      <c r="E578" t="s">
        <v>856</v>
      </c>
      <c r="F578" s="3">
        <v>381.2340425531915</v>
      </c>
      <c r="G578" s="1" t="s">
        <v>13</v>
      </c>
      <c r="H578" s="2">
        <v>44621</v>
      </c>
      <c r="I578" s="1">
        <v>1.86</v>
      </c>
      <c r="J578" s="1">
        <v>4.101</v>
      </c>
      <c r="K578" s="1">
        <v>3</v>
      </c>
      <c r="L578" s="1" t="s">
        <v>14</v>
      </c>
    </row>
    <row r="579" spans="1:12" x14ac:dyDescent="0.25">
      <c r="A579" s="1" t="s">
        <v>1318</v>
      </c>
      <c r="B579" s="1" t="str">
        <f>("125535")</f>
        <v>125535</v>
      </c>
      <c r="C579" s="1" t="str">
        <f>("622454463691")</f>
        <v>622454463691</v>
      </c>
      <c r="D579" s="1" t="s">
        <v>857</v>
      </c>
      <c r="E579" t="s">
        <v>858</v>
      </c>
      <c r="F579" s="3">
        <v>176.5</v>
      </c>
      <c r="G579" s="1" t="s">
        <v>13</v>
      </c>
      <c r="H579" s="2">
        <v>44621</v>
      </c>
      <c r="I579" s="1">
        <v>2.1389999999999998</v>
      </c>
      <c r="J579" s="1">
        <v>4.7160000000000002</v>
      </c>
      <c r="L579" s="1" t="s">
        <v>31</v>
      </c>
    </row>
    <row r="580" spans="1:12" x14ac:dyDescent="0.25">
      <c r="A580" s="1" t="s">
        <v>1318</v>
      </c>
      <c r="B580" s="1" t="str">
        <f>("125543")</f>
        <v>125543</v>
      </c>
      <c r="C580" s="1" t="str">
        <f>("622454463776")</f>
        <v>622454463776</v>
      </c>
      <c r="D580" s="1" t="s">
        <v>859</v>
      </c>
      <c r="E580" t="s">
        <v>860</v>
      </c>
      <c r="F580" s="3">
        <v>341.11</v>
      </c>
      <c r="G580" s="1" t="s">
        <v>13</v>
      </c>
      <c r="H580" s="2">
        <v>44621</v>
      </c>
      <c r="I580" s="1">
        <v>4.1319999999999997</v>
      </c>
      <c r="J580" s="1">
        <v>9.109</v>
      </c>
      <c r="K580" s="1">
        <v>2</v>
      </c>
      <c r="L580" s="1" t="s">
        <v>31</v>
      </c>
    </row>
    <row r="581" spans="1:12" x14ac:dyDescent="0.25">
      <c r="A581" s="1" t="s">
        <v>1318</v>
      </c>
      <c r="B581" s="1" t="str">
        <f>("125550")</f>
        <v>125550</v>
      </c>
      <c r="C581" s="1" t="str">
        <f>("622454463844")</f>
        <v>622454463844</v>
      </c>
      <c r="D581" s="1" t="s">
        <v>861</v>
      </c>
      <c r="E581" t="s">
        <v>862</v>
      </c>
      <c r="F581" s="3">
        <v>506.89</v>
      </c>
      <c r="G581" s="1" t="s">
        <v>13</v>
      </c>
      <c r="H581" s="2">
        <v>44621</v>
      </c>
      <c r="I581" s="1">
        <v>6.65</v>
      </c>
      <c r="J581" s="1">
        <v>14.661</v>
      </c>
      <c r="K581" s="1">
        <v>1</v>
      </c>
      <c r="L581" s="1" t="s">
        <v>31</v>
      </c>
    </row>
    <row r="582" spans="1:12" x14ac:dyDescent="0.25">
      <c r="A582" s="1" t="s">
        <v>1318</v>
      </c>
      <c r="B582" s="1" t="str">
        <f>("125540")</f>
        <v>125540</v>
      </c>
      <c r="C582" s="1" t="str">
        <f>("622454463745")</f>
        <v>622454463745</v>
      </c>
      <c r="D582" s="1" t="s">
        <v>863</v>
      </c>
      <c r="E582" t="s">
        <v>864</v>
      </c>
      <c r="F582" s="3">
        <v>176.5</v>
      </c>
      <c r="G582" s="1" t="s">
        <v>13</v>
      </c>
      <c r="H582" s="2">
        <v>44621</v>
      </c>
      <c r="I582" s="1">
        <v>1E-3</v>
      </c>
      <c r="J582" s="1">
        <v>2E-3</v>
      </c>
      <c r="L582" s="1" t="s">
        <v>31</v>
      </c>
    </row>
    <row r="583" spans="1:12" x14ac:dyDescent="0.25">
      <c r="A583" s="1" t="s">
        <v>1318</v>
      </c>
      <c r="B583" s="1" t="str">
        <f>("125547")</f>
        <v>125547</v>
      </c>
      <c r="C583" s="1" t="str">
        <f>("622454463813")</f>
        <v>622454463813</v>
      </c>
      <c r="D583" s="1" t="s">
        <v>865</v>
      </c>
      <c r="E583" t="s">
        <v>866</v>
      </c>
      <c r="F583" s="3">
        <v>341.11</v>
      </c>
      <c r="G583" s="1" t="s">
        <v>13</v>
      </c>
      <c r="H583" s="2">
        <v>44621</v>
      </c>
      <c r="I583" s="1">
        <v>4.5529999999999999</v>
      </c>
      <c r="J583" s="1">
        <v>10.038</v>
      </c>
      <c r="L583" s="1" t="s">
        <v>31</v>
      </c>
    </row>
    <row r="584" spans="1:12" x14ac:dyDescent="0.25">
      <c r="A584" s="1" t="s">
        <v>1318</v>
      </c>
      <c r="B584" s="1" t="str">
        <f>("125554")</f>
        <v>125554</v>
      </c>
      <c r="C584" s="1" t="str">
        <f>("622454463882")</f>
        <v>622454463882</v>
      </c>
      <c r="D584" s="1" t="s">
        <v>867</v>
      </c>
      <c r="E584" t="s">
        <v>868</v>
      </c>
      <c r="F584" s="3">
        <v>506.89</v>
      </c>
      <c r="G584" s="1" t="s">
        <v>13</v>
      </c>
      <c r="H584" s="2">
        <v>44621</v>
      </c>
      <c r="I584" s="1">
        <v>1.9570000000000001</v>
      </c>
      <c r="J584" s="1">
        <v>4.3140000000000001</v>
      </c>
      <c r="L584" s="1" t="s">
        <v>31</v>
      </c>
    </row>
    <row r="585" spans="1:12" x14ac:dyDescent="0.25">
      <c r="A585" s="1" t="s">
        <v>1318</v>
      </c>
      <c r="B585" s="1" t="str">
        <f>("035614")</f>
        <v>035614</v>
      </c>
      <c r="C585" s="1" t="str">
        <f>("622454356146")</f>
        <v>622454356146</v>
      </c>
      <c r="D585" s="1">
        <v>436074</v>
      </c>
      <c r="E585" t="s">
        <v>869</v>
      </c>
      <c r="F585" s="3">
        <v>2.7340425531914891</v>
      </c>
      <c r="G585" s="1" t="s">
        <v>13</v>
      </c>
      <c r="H585" s="2">
        <v>44621</v>
      </c>
      <c r="I585" s="1">
        <v>0.03</v>
      </c>
      <c r="J585" s="1">
        <v>6.6000000000000003E-2</v>
      </c>
      <c r="K585" s="1">
        <v>50</v>
      </c>
      <c r="L585" s="1" t="s">
        <v>14</v>
      </c>
    </row>
    <row r="586" spans="1:12" x14ac:dyDescent="0.25">
      <c r="A586" s="1" t="s">
        <v>1318</v>
      </c>
      <c r="B586" s="1" t="str">
        <f>("035615")</f>
        <v>035615</v>
      </c>
      <c r="C586" s="1" t="str">
        <f>("622454356153")</f>
        <v>622454356153</v>
      </c>
      <c r="D586" s="1">
        <v>436101</v>
      </c>
      <c r="E586" t="s">
        <v>870</v>
      </c>
      <c r="F586" s="3">
        <v>2.5106382978723403</v>
      </c>
      <c r="G586" s="1" t="s">
        <v>13</v>
      </c>
      <c r="H586" s="2">
        <v>44621</v>
      </c>
      <c r="I586" s="1">
        <v>1.4E-2</v>
      </c>
      <c r="J586" s="1">
        <v>3.1E-2</v>
      </c>
      <c r="L586" s="1" t="s">
        <v>14</v>
      </c>
    </row>
    <row r="587" spans="1:12" x14ac:dyDescent="0.25">
      <c r="A587" s="1" t="s">
        <v>1318</v>
      </c>
      <c r="B587" s="1" t="str">
        <f>("035616")</f>
        <v>035616</v>
      </c>
      <c r="C587" s="1" t="str">
        <f>("622454356160")</f>
        <v>622454356160</v>
      </c>
      <c r="D587" s="1">
        <v>436102</v>
      </c>
      <c r="E587" t="s">
        <v>871</v>
      </c>
      <c r="F587" s="3">
        <v>3.9042553191489362</v>
      </c>
      <c r="G587" s="1" t="s">
        <v>13</v>
      </c>
      <c r="H587" s="2">
        <v>44621</v>
      </c>
      <c r="I587" s="1">
        <v>3.2000000000000001E-2</v>
      </c>
      <c r="J587" s="1">
        <v>7.0999999999999994E-2</v>
      </c>
      <c r="K587" s="1">
        <v>50</v>
      </c>
      <c r="L587" s="1" t="s">
        <v>14</v>
      </c>
    </row>
    <row r="588" spans="1:12" x14ac:dyDescent="0.25">
      <c r="A588" s="1" t="s">
        <v>1318</v>
      </c>
      <c r="B588" s="1" t="str">
        <f>("035617")</f>
        <v>035617</v>
      </c>
      <c r="C588" s="1" t="str">
        <f>("622454356177")</f>
        <v>622454356177</v>
      </c>
      <c r="D588" s="1">
        <v>436131</v>
      </c>
      <c r="E588" t="s">
        <v>872</v>
      </c>
      <c r="F588" s="3">
        <v>8.3510638297872344</v>
      </c>
      <c r="G588" s="1" t="s">
        <v>13</v>
      </c>
      <c r="H588" s="2">
        <v>44621</v>
      </c>
      <c r="I588" s="1">
        <v>3.5999999999999997E-2</v>
      </c>
      <c r="J588" s="1">
        <v>7.9000000000000001E-2</v>
      </c>
      <c r="K588" s="1">
        <v>25</v>
      </c>
      <c r="L588" s="1" t="s">
        <v>14</v>
      </c>
    </row>
    <row r="589" spans="1:12" x14ac:dyDescent="0.25">
      <c r="A589" s="1" t="s">
        <v>1318</v>
      </c>
      <c r="B589" s="1" t="str">
        <f>("035618")</f>
        <v>035618</v>
      </c>
      <c r="C589" s="1" t="str">
        <f>("622454356184")</f>
        <v>622454356184</v>
      </c>
      <c r="D589" s="1">
        <v>436132</v>
      </c>
      <c r="E589" t="s">
        <v>873</v>
      </c>
      <c r="F589" s="3">
        <v>9.1063829787234045</v>
      </c>
      <c r="G589" s="1" t="s">
        <v>13</v>
      </c>
      <c r="H589" s="2">
        <v>44621</v>
      </c>
      <c r="I589" s="1">
        <v>4.4999999999999998E-2</v>
      </c>
      <c r="J589" s="1">
        <v>9.9000000000000005E-2</v>
      </c>
      <c r="K589" s="1">
        <v>50</v>
      </c>
      <c r="L589" s="1" t="s">
        <v>14</v>
      </c>
    </row>
    <row r="590" spans="1:12" x14ac:dyDescent="0.25">
      <c r="A590" s="1" t="s">
        <v>1318</v>
      </c>
      <c r="B590" s="1" t="str">
        <f>("035380")</f>
        <v>035380</v>
      </c>
      <c r="C590" s="1" t="str">
        <f>("622454353800")</f>
        <v>622454353800</v>
      </c>
      <c r="D590" s="1">
        <v>436168</v>
      </c>
      <c r="E590" t="s">
        <v>874</v>
      </c>
      <c r="F590" s="3">
        <v>10.244680851063832</v>
      </c>
      <c r="G590" s="1" t="s">
        <v>13</v>
      </c>
      <c r="H590" s="2">
        <v>44621</v>
      </c>
      <c r="I590" s="1">
        <v>3.5999999999999997E-2</v>
      </c>
      <c r="J590" s="1">
        <v>7.9000000000000001E-2</v>
      </c>
      <c r="K590" s="1">
        <v>25</v>
      </c>
      <c r="L590" s="1" t="s">
        <v>14</v>
      </c>
    </row>
    <row r="591" spans="1:12" x14ac:dyDescent="0.25">
      <c r="A591" s="1" t="s">
        <v>1318</v>
      </c>
      <c r="B591" s="1" t="str">
        <f>("035593")</f>
        <v>035593</v>
      </c>
      <c r="C591" s="1" t="str">
        <f>("622454355934")</f>
        <v>622454355934</v>
      </c>
      <c r="D591" s="1">
        <v>436169</v>
      </c>
      <c r="E591" t="s">
        <v>875</v>
      </c>
      <c r="F591" s="3">
        <v>10.244680851063832</v>
      </c>
      <c r="G591" s="1" t="s">
        <v>13</v>
      </c>
      <c r="H591" s="2">
        <v>44621</v>
      </c>
      <c r="I591" s="1">
        <v>5.3999999999999999E-2</v>
      </c>
      <c r="J591" s="1">
        <v>0.11899999999999999</v>
      </c>
      <c r="K591" s="1">
        <v>25</v>
      </c>
      <c r="L591" s="1" t="s">
        <v>14</v>
      </c>
    </row>
    <row r="592" spans="1:12" x14ac:dyDescent="0.25">
      <c r="A592" s="1" t="s">
        <v>1318</v>
      </c>
      <c r="B592" s="1" t="str">
        <f>("035619")</f>
        <v>035619</v>
      </c>
      <c r="C592" s="1" t="str">
        <f>("622454356191")</f>
        <v>622454356191</v>
      </c>
      <c r="D592" s="1">
        <v>436212</v>
      </c>
      <c r="E592" t="s">
        <v>876</v>
      </c>
      <c r="F592" s="3">
        <v>12.404255319148938</v>
      </c>
      <c r="G592" s="1" t="s">
        <v>13</v>
      </c>
      <c r="H592" s="2">
        <v>44621</v>
      </c>
      <c r="I592" s="1">
        <v>5.3999999999999999E-2</v>
      </c>
      <c r="J592" s="1">
        <v>0.11899999999999999</v>
      </c>
      <c r="K592" s="1">
        <v>25</v>
      </c>
      <c r="L592" s="1" t="s">
        <v>14</v>
      </c>
    </row>
    <row r="593" spans="1:12" x14ac:dyDescent="0.25">
      <c r="A593" s="1" t="s">
        <v>1318</v>
      </c>
      <c r="B593" s="1" t="str">
        <f>("035620")</f>
        <v>035620</v>
      </c>
      <c r="C593" s="1" t="str">
        <f>("622454356207")</f>
        <v>622454356207</v>
      </c>
      <c r="D593" s="1">
        <v>436213</v>
      </c>
      <c r="E593" t="s">
        <v>877</v>
      </c>
      <c r="F593" s="3">
        <v>12.404255319148938</v>
      </c>
      <c r="G593" s="1" t="s">
        <v>13</v>
      </c>
      <c r="H593" s="2">
        <v>44621</v>
      </c>
      <c r="I593" s="1">
        <v>8.2000000000000003E-2</v>
      </c>
      <c r="J593" s="1">
        <v>0.18099999999999999</v>
      </c>
      <c r="K593" s="1">
        <v>25</v>
      </c>
      <c r="L593" s="1" t="s">
        <v>14</v>
      </c>
    </row>
    <row r="594" spans="1:12" x14ac:dyDescent="0.25">
      <c r="A594" s="1" t="s">
        <v>1318</v>
      </c>
      <c r="B594" s="1" t="str">
        <f>("035973")</f>
        <v>035973</v>
      </c>
      <c r="C594" s="1" t="str">
        <f>("622454359734")</f>
        <v>622454359734</v>
      </c>
      <c r="D594" s="1">
        <v>436251</v>
      </c>
      <c r="E594" t="s">
        <v>878</v>
      </c>
      <c r="F594" s="3">
        <v>14.148936170212767</v>
      </c>
      <c r="G594" s="1" t="s">
        <v>13</v>
      </c>
      <c r="H594" s="2">
        <v>44621</v>
      </c>
      <c r="I594" s="1">
        <v>0.11</v>
      </c>
      <c r="J594" s="1">
        <v>0.24299999999999999</v>
      </c>
      <c r="K594" s="1">
        <v>25</v>
      </c>
      <c r="L594" s="1" t="s">
        <v>14</v>
      </c>
    </row>
    <row r="595" spans="1:12" x14ac:dyDescent="0.25">
      <c r="A595" s="1" t="s">
        <v>1318</v>
      </c>
      <c r="B595" s="1" t="str">
        <f>("235041")</f>
        <v>235041</v>
      </c>
      <c r="C595" s="1" t="str">
        <f>("622454010604")</f>
        <v>622454010604</v>
      </c>
      <c r="D595" s="1">
        <v>436252</v>
      </c>
      <c r="E595" t="s">
        <v>879</v>
      </c>
      <c r="F595" s="3">
        <v>21.978723404255319</v>
      </c>
      <c r="G595" s="1" t="s">
        <v>13</v>
      </c>
      <c r="H595" s="2">
        <v>44621</v>
      </c>
      <c r="I595" s="1">
        <v>0.18</v>
      </c>
      <c r="J595" s="1">
        <v>0.39700000000000002</v>
      </c>
      <c r="K595" s="1">
        <v>10</v>
      </c>
      <c r="L595" s="1" t="s">
        <v>14</v>
      </c>
    </row>
    <row r="596" spans="1:12" x14ac:dyDescent="0.25">
      <c r="A596" s="1" t="s">
        <v>1318</v>
      </c>
      <c r="B596" s="1" t="str">
        <f>("235042")</f>
        <v>235042</v>
      </c>
      <c r="C596" s="1" t="str">
        <f>("622454010611")</f>
        <v>622454010611</v>
      </c>
      <c r="D596" s="1">
        <v>436294</v>
      </c>
      <c r="E596" t="s">
        <v>880</v>
      </c>
      <c r="F596" s="3">
        <v>26.627659574468087</v>
      </c>
      <c r="G596" s="1" t="s">
        <v>13</v>
      </c>
      <c r="H596" s="2">
        <v>44621</v>
      </c>
      <c r="I596" s="1">
        <v>0.27</v>
      </c>
      <c r="J596" s="1">
        <v>0.59499999999999997</v>
      </c>
      <c r="K596" s="1">
        <v>10</v>
      </c>
      <c r="L596" s="1" t="s">
        <v>14</v>
      </c>
    </row>
    <row r="597" spans="1:12" x14ac:dyDescent="0.25">
      <c r="A597" s="1" t="s">
        <v>1318</v>
      </c>
      <c r="B597" s="1" t="str">
        <f>("235043")</f>
        <v>235043</v>
      </c>
      <c r="C597" s="1" t="str">
        <f>("622454011564")</f>
        <v>622454011564</v>
      </c>
      <c r="D597" s="1">
        <v>436296</v>
      </c>
      <c r="E597" t="s">
        <v>881</v>
      </c>
      <c r="F597" s="3">
        <v>40.882978723404257</v>
      </c>
      <c r="G597" s="1" t="s">
        <v>13</v>
      </c>
      <c r="H597" s="2">
        <v>44621</v>
      </c>
      <c r="I597" s="1">
        <v>0.37</v>
      </c>
      <c r="J597" s="1">
        <v>0.81599999999999995</v>
      </c>
      <c r="K597" s="1">
        <v>10</v>
      </c>
      <c r="L597" s="1" t="s">
        <v>14</v>
      </c>
    </row>
    <row r="598" spans="1:12" x14ac:dyDescent="0.25">
      <c r="A598" s="1" t="s">
        <v>1318</v>
      </c>
      <c r="B598" s="1" t="str">
        <f>("235044")</f>
        <v>235044</v>
      </c>
      <c r="C598" s="1" t="str">
        <f>("622454010635")</f>
        <v>622454010635</v>
      </c>
      <c r="D598" s="1">
        <v>436342</v>
      </c>
      <c r="E598" t="s">
        <v>882</v>
      </c>
      <c r="F598" s="3">
        <v>42.595744680851062</v>
      </c>
      <c r="G598" s="1" t="s">
        <v>13</v>
      </c>
      <c r="H598" s="2">
        <v>44621</v>
      </c>
      <c r="I598" s="1">
        <v>0.36</v>
      </c>
      <c r="J598" s="1">
        <v>0.79400000000000004</v>
      </c>
      <c r="K598" s="1">
        <v>5</v>
      </c>
      <c r="L598" s="1" t="s">
        <v>14</v>
      </c>
    </row>
    <row r="599" spans="1:12" x14ac:dyDescent="0.25">
      <c r="A599" s="1" t="s">
        <v>1318</v>
      </c>
      <c r="B599" s="1" t="str">
        <f>("235045")</f>
        <v>235045</v>
      </c>
      <c r="C599" s="1" t="str">
        <f>("622454010659")</f>
        <v>622454010659</v>
      </c>
      <c r="D599" s="1">
        <v>431060</v>
      </c>
      <c r="E599" t="s">
        <v>883</v>
      </c>
      <c r="F599" s="3">
        <v>65.40425531914893</v>
      </c>
      <c r="G599" s="1" t="s">
        <v>13</v>
      </c>
      <c r="H599" s="2">
        <v>44621</v>
      </c>
      <c r="I599" s="1">
        <v>0.41</v>
      </c>
      <c r="J599" s="1">
        <v>0.90400000000000003</v>
      </c>
      <c r="K599" s="1">
        <v>5</v>
      </c>
      <c r="L599" s="1" t="s">
        <v>14</v>
      </c>
    </row>
    <row r="600" spans="1:12" x14ac:dyDescent="0.25">
      <c r="A600" s="1" t="s">
        <v>1318</v>
      </c>
      <c r="B600" s="1" t="str">
        <f>("235046")</f>
        <v>235046</v>
      </c>
      <c r="C600" s="1" t="str">
        <f>("622454010666")</f>
        <v>622454010666</v>
      </c>
      <c r="D600" s="1">
        <v>431080</v>
      </c>
      <c r="E600" t="s">
        <v>884</v>
      </c>
      <c r="F600" s="3">
        <v>80.585106382978722</v>
      </c>
      <c r="G600" s="1" t="s">
        <v>13</v>
      </c>
      <c r="H600" s="2">
        <v>44621</v>
      </c>
      <c r="I600" s="1">
        <v>0.68</v>
      </c>
      <c r="J600" s="1">
        <v>1.4990000000000001</v>
      </c>
      <c r="K600" s="1">
        <v>10</v>
      </c>
      <c r="L600" s="1" t="s">
        <v>14</v>
      </c>
    </row>
    <row r="601" spans="1:12" x14ac:dyDescent="0.25">
      <c r="A601" s="1" t="s">
        <v>1318</v>
      </c>
      <c r="B601" s="1" t="str">
        <f>("035591")</f>
        <v>035591</v>
      </c>
      <c r="C601" s="1" t="str">
        <f>("622454355910")</f>
        <v>622454355910</v>
      </c>
      <c r="D601" s="1">
        <v>434005</v>
      </c>
      <c r="E601" t="s">
        <v>885</v>
      </c>
      <c r="F601" s="3">
        <v>2.8085106382978728</v>
      </c>
      <c r="G601" s="1" t="s">
        <v>13</v>
      </c>
      <c r="H601" s="2">
        <v>44621</v>
      </c>
      <c r="I601" s="1">
        <v>1.4E-2</v>
      </c>
      <c r="J601" s="1">
        <v>3.1E-2</v>
      </c>
      <c r="L601" s="1" t="s">
        <v>14</v>
      </c>
    </row>
    <row r="602" spans="1:12" x14ac:dyDescent="0.25">
      <c r="A602" s="1" t="s">
        <v>1318</v>
      </c>
      <c r="B602" s="1" t="str">
        <f>("035944")</f>
        <v>035944</v>
      </c>
      <c r="C602" s="1" t="str">
        <f>("622454359444")</f>
        <v>622454359444</v>
      </c>
      <c r="D602" s="1">
        <v>434007</v>
      </c>
      <c r="E602" t="s">
        <v>886</v>
      </c>
      <c r="F602" s="3">
        <v>4.6914893617021285</v>
      </c>
      <c r="G602" s="1" t="s">
        <v>13</v>
      </c>
      <c r="H602" s="2">
        <v>44621</v>
      </c>
      <c r="I602" s="1">
        <v>1.7999999999999999E-2</v>
      </c>
      <c r="J602" s="1">
        <v>0.04</v>
      </c>
      <c r="K602" s="1">
        <v>50</v>
      </c>
      <c r="L602" s="1" t="s">
        <v>14</v>
      </c>
    </row>
    <row r="603" spans="1:12" x14ac:dyDescent="0.25">
      <c r="A603" s="1" t="s">
        <v>1318</v>
      </c>
      <c r="B603" s="1" t="str">
        <f>("035947")</f>
        <v>035947</v>
      </c>
      <c r="C603" s="1" t="str">
        <f>("622454359475")</f>
        <v>622454359475</v>
      </c>
      <c r="D603" s="1">
        <v>434010</v>
      </c>
      <c r="E603" t="s">
        <v>887</v>
      </c>
      <c r="F603" s="3">
        <v>5.8510638297872344</v>
      </c>
      <c r="G603" s="1" t="s">
        <v>13</v>
      </c>
      <c r="H603" s="2">
        <v>44621</v>
      </c>
      <c r="I603" s="1">
        <v>3.2000000000000001E-2</v>
      </c>
      <c r="J603" s="1">
        <v>7.0999999999999994E-2</v>
      </c>
      <c r="K603" s="1">
        <v>50</v>
      </c>
      <c r="L603" s="1" t="s">
        <v>14</v>
      </c>
    </row>
    <row r="604" spans="1:12" x14ac:dyDescent="0.25">
      <c r="A604" s="1" t="s">
        <v>1318</v>
      </c>
      <c r="B604" s="1" t="str">
        <f>("035578")</f>
        <v>035578</v>
      </c>
      <c r="C604" s="1" t="str">
        <f>("622454355781")</f>
        <v>622454355781</v>
      </c>
      <c r="D604" s="1">
        <v>478005</v>
      </c>
      <c r="E604" t="s">
        <v>888</v>
      </c>
      <c r="F604" s="3">
        <v>1.9148936170212767</v>
      </c>
      <c r="G604" s="1" t="s">
        <v>13</v>
      </c>
      <c r="H604" s="2">
        <v>44621</v>
      </c>
      <c r="I604" s="1">
        <v>1.7999999999999999E-2</v>
      </c>
      <c r="J604" s="1">
        <v>0.04</v>
      </c>
      <c r="K604" s="1">
        <v>50</v>
      </c>
      <c r="L604" s="1" t="s">
        <v>14</v>
      </c>
    </row>
    <row r="605" spans="1:12" x14ac:dyDescent="0.25">
      <c r="A605" s="1" t="s">
        <v>1318</v>
      </c>
      <c r="B605" s="1" t="str">
        <f>("035579")</f>
        <v>035579</v>
      </c>
      <c r="C605" s="1" t="str">
        <f>("622454355798")</f>
        <v>622454355798</v>
      </c>
      <c r="D605" s="1">
        <v>478007</v>
      </c>
      <c r="E605" t="s">
        <v>889</v>
      </c>
      <c r="F605" s="3">
        <v>2.2340425531914896</v>
      </c>
      <c r="G605" s="1" t="s">
        <v>13</v>
      </c>
      <c r="H605" s="2">
        <v>44621</v>
      </c>
      <c r="I605" s="1">
        <v>2.7E-2</v>
      </c>
      <c r="J605" s="1">
        <v>0.06</v>
      </c>
      <c r="K605" s="1">
        <v>25</v>
      </c>
      <c r="L605" s="1" t="s">
        <v>14</v>
      </c>
    </row>
    <row r="606" spans="1:12" x14ac:dyDescent="0.25">
      <c r="A606" s="1" t="s">
        <v>1318</v>
      </c>
      <c r="B606" s="1" t="str">
        <f>("035580")</f>
        <v>035580</v>
      </c>
      <c r="C606" s="1" t="str">
        <f>("622454355804")</f>
        <v>622454355804</v>
      </c>
      <c r="D606" s="1">
        <v>478010</v>
      </c>
      <c r="E606" t="s">
        <v>890</v>
      </c>
      <c r="F606" s="3">
        <v>3.5957446808510638</v>
      </c>
      <c r="G606" s="1" t="s">
        <v>13</v>
      </c>
      <c r="H606" s="2">
        <v>44621</v>
      </c>
      <c r="I606" s="1">
        <v>4.4999999999999998E-2</v>
      </c>
      <c r="J606" s="1">
        <v>9.9000000000000005E-2</v>
      </c>
      <c r="K606" s="1">
        <v>50</v>
      </c>
      <c r="L606" s="1" t="s">
        <v>14</v>
      </c>
    </row>
    <row r="607" spans="1:12" x14ac:dyDescent="0.25">
      <c r="A607" s="1" t="s">
        <v>1318</v>
      </c>
      <c r="B607" s="1" t="str">
        <f>("035581")</f>
        <v>035581</v>
      </c>
      <c r="C607" s="1" t="str">
        <f>("622454355811")</f>
        <v>622454355811</v>
      </c>
      <c r="D607" s="1">
        <v>478012</v>
      </c>
      <c r="E607" t="s">
        <v>891</v>
      </c>
      <c r="F607" s="3">
        <v>5.0106382978723403</v>
      </c>
      <c r="G607" s="1" t="s">
        <v>13</v>
      </c>
      <c r="H607" s="2">
        <v>44621</v>
      </c>
      <c r="I607" s="1">
        <v>6.4000000000000001E-2</v>
      </c>
      <c r="J607" s="1">
        <v>0.14099999999999999</v>
      </c>
      <c r="K607" s="1">
        <v>25</v>
      </c>
      <c r="L607" s="1" t="s">
        <v>14</v>
      </c>
    </row>
    <row r="608" spans="1:12" x14ac:dyDescent="0.25">
      <c r="A608" s="1" t="s">
        <v>1318</v>
      </c>
      <c r="B608" s="1" t="str">
        <f>("035582")</f>
        <v>035582</v>
      </c>
      <c r="C608" s="1" t="str">
        <f>("622454355828")</f>
        <v>622454355828</v>
      </c>
      <c r="D608" s="1">
        <v>478015</v>
      </c>
      <c r="E608" t="s">
        <v>892</v>
      </c>
      <c r="F608" s="3">
        <v>6.1702127659574471</v>
      </c>
      <c r="G608" s="1" t="s">
        <v>13</v>
      </c>
      <c r="H608" s="2">
        <v>44621</v>
      </c>
      <c r="I608" s="1">
        <v>7.6999999999999999E-2</v>
      </c>
      <c r="J608" s="1">
        <v>0.17</v>
      </c>
      <c r="K608" s="1">
        <v>20</v>
      </c>
      <c r="L608" s="1" t="s">
        <v>14</v>
      </c>
    </row>
    <row r="609" spans="1:12" x14ac:dyDescent="0.25">
      <c r="A609" s="1" t="s">
        <v>1318</v>
      </c>
      <c r="B609" s="1" t="str">
        <f>("035583")</f>
        <v>035583</v>
      </c>
      <c r="C609" s="1" t="str">
        <f>("622454355835")</f>
        <v>622454355835</v>
      </c>
      <c r="D609" s="1">
        <v>478020</v>
      </c>
      <c r="E609" t="s">
        <v>893</v>
      </c>
      <c r="F609" s="3">
        <v>9.1063829787234045</v>
      </c>
      <c r="G609" s="1" t="s">
        <v>13</v>
      </c>
      <c r="H609" s="2">
        <v>44621</v>
      </c>
      <c r="I609" s="1">
        <v>0.11799999999999999</v>
      </c>
      <c r="J609" s="1">
        <v>0.26</v>
      </c>
      <c r="K609" s="1">
        <v>20</v>
      </c>
      <c r="L609" s="1" t="s">
        <v>14</v>
      </c>
    </row>
    <row r="610" spans="1:12" x14ac:dyDescent="0.25">
      <c r="A610" s="1" t="s">
        <v>1318</v>
      </c>
      <c r="B610" s="1" t="str">
        <f>("035585")</f>
        <v>035585</v>
      </c>
      <c r="C610" s="1" t="str">
        <f>("622454355859")</f>
        <v>622454355859</v>
      </c>
      <c r="D610" s="1">
        <v>478030</v>
      </c>
      <c r="E610" t="s">
        <v>894</v>
      </c>
      <c r="F610" s="3">
        <v>30.861702127659576</v>
      </c>
      <c r="G610" s="1" t="s">
        <v>13</v>
      </c>
      <c r="H610" s="2">
        <v>44621</v>
      </c>
      <c r="I610" s="1">
        <v>0.376</v>
      </c>
      <c r="J610" s="1">
        <v>0.82899999999999996</v>
      </c>
      <c r="K610" s="1">
        <v>10</v>
      </c>
      <c r="L610" s="1" t="s">
        <v>14</v>
      </c>
    </row>
    <row r="611" spans="1:12" x14ac:dyDescent="0.25">
      <c r="A611" s="1" t="s">
        <v>1318</v>
      </c>
      <c r="B611" s="1" t="str">
        <f>("035586")</f>
        <v>035586</v>
      </c>
      <c r="C611" s="1" t="str">
        <f>("622454355866")</f>
        <v>622454355866</v>
      </c>
      <c r="D611" s="1">
        <v>478040</v>
      </c>
      <c r="E611" t="s">
        <v>895</v>
      </c>
      <c r="F611" s="3">
        <v>51.234042553191486</v>
      </c>
      <c r="G611" s="1" t="s">
        <v>13</v>
      </c>
      <c r="H611" s="2">
        <v>44621</v>
      </c>
      <c r="I611" s="1">
        <v>0.435</v>
      </c>
      <c r="J611" s="1">
        <v>0.95899999999999996</v>
      </c>
      <c r="K611" s="1">
        <v>5</v>
      </c>
      <c r="L611" s="1" t="s">
        <v>14</v>
      </c>
    </row>
    <row r="612" spans="1:12" x14ac:dyDescent="0.25">
      <c r="A612" s="1" t="s">
        <v>1318</v>
      </c>
      <c r="B612" s="1" t="str">
        <f>("035643")</f>
        <v>035643</v>
      </c>
      <c r="C612" s="1" t="str">
        <f>("622454356436")</f>
        <v>622454356436</v>
      </c>
      <c r="D612" s="1">
        <v>437072</v>
      </c>
      <c r="E612" t="s">
        <v>896</v>
      </c>
      <c r="F612" s="3">
        <v>2.8936170212765959</v>
      </c>
      <c r="G612" s="1" t="s">
        <v>13</v>
      </c>
      <c r="H612" s="2">
        <v>44621</v>
      </c>
      <c r="I612" s="1">
        <v>8.9999999999999993E-3</v>
      </c>
      <c r="J612" s="1">
        <v>0.02</v>
      </c>
      <c r="K612" s="1">
        <v>50</v>
      </c>
      <c r="L612" s="1" t="s">
        <v>14</v>
      </c>
    </row>
    <row r="613" spans="1:12" x14ac:dyDescent="0.25">
      <c r="A613" s="1" t="s">
        <v>1318</v>
      </c>
      <c r="B613" s="1" t="str">
        <f>("035644")</f>
        <v>035644</v>
      </c>
      <c r="C613" s="1" t="str">
        <f>("622454356443")</f>
        <v>622454356443</v>
      </c>
      <c r="D613" s="1">
        <v>437073</v>
      </c>
      <c r="E613" t="s">
        <v>897</v>
      </c>
      <c r="F613" s="3">
        <v>2.8936170212765959</v>
      </c>
      <c r="G613" s="1" t="s">
        <v>13</v>
      </c>
      <c r="H613" s="2">
        <v>44621</v>
      </c>
      <c r="I613" s="1">
        <v>8.9999999999999993E-3</v>
      </c>
      <c r="J613" s="1">
        <v>0.02</v>
      </c>
      <c r="L613" s="1" t="s">
        <v>14</v>
      </c>
    </row>
    <row r="614" spans="1:12" x14ac:dyDescent="0.25">
      <c r="A614" s="1" t="s">
        <v>1318</v>
      </c>
      <c r="B614" s="1" t="str">
        <f>("035646")</f>
        <v>035646</v>
      </c>
      <c r="C614" s="1" t="str">
        <f>("622454356467")</f>
        <v>622454356467</v>
      </c>
      <c r="D614" s="1">
        <v>437101</v>
      </c>
      <c r="E614" t="s">
        <v>898</v>
      </c>
      <c r="F614" s="3">
        <v>1.574468085106383</v>
      </c>
      <c r="G614" s="1" t="s">
        <v>13</v>
      </c>
      <c r="H614" s="2">
        <v>44621</v>
      </c>
      <c r="I614" s="1">
        <v>1.6E-2</v>
      </c>
      <c r="J614" s="1">
        <v>3.5000000000000003E-2</v>
      </c>
      <c r="K614" s="1">
        <v>100</v>
      </c>
      <c r="L614" s="1" t="s">
        <v>14</v>
      </c>
    </row>
    <row r="615" spans="1:12" x14ac:dyDescent="0.25">
      <c r="A615" s="1" t="s">
        <v>1318</v>
      </c>
      <c r="B615" s="1" t="str">
        <f>("035648")</f>
        <v>035648</v>
      </c>
      <c r="C615" s="1" t="str">
        <f>("622454356481")</f>
        <v>622454356481</v>
      </c>
      <c r="D615" s="1">
        <v>437130</v>
      </c>
      <c r="E615" t="s">
        <v>899</v>
      </c>
      <c r="F615" s="3">
        <v>2.8936170212765959</v>
      </c>
      <c r="G615" s="1" t="s">
        <v>13</v>
      </c>
      <c r="H615" s="2">
        <v>44621</v>
      </c>
      <c r="I615" s="1">
        <v>2.4E-2</v>
      </c>
      <c r="J615" s="1">
        <v>5.2999999999999999E-2</v>
      </c>
      <c r="K615" s="1">
        <v>50</v>
      </c>
      <c r="L615" s="1" t="s">
        <v>14</v>
      </c>
    </row>
    <row r="616" spans="1:12" x14ac:dyDescent="0.25">
      <c r="A616" s="1" t="s">
        <v>1318</v>
      </c>
      <c r="B616" s="1" t="str">
        <f>("035649")</f>
        <v>035649</v>
      </c>
      <c r="C616" s="1" t="str">
        <f>("622454356498")</f>
        <v>622454356498</v>
      </c>
      <c r="D616" s="1">
        <v>437131</v>
      </c>
      <c r="E616" t="s">
        <v>900</v>
      </c>
      <c r="F616" s="3">
        <v>2.8936170212765959</v>
      </c>
      <c r="G616" s="1" t="s">
        <v>13</v>
      </c>
      <c r="H616" s="2">
        <v>44621</v>
      </c>
      <c r="I616" s="1">
        <v>0.02</v>
      </c>
      <c r="J616" s="1">
        <v>4.3999999999999997E-2</v>
      </c>
      <c r="K616" s="1">
        <v>50</v>
      </c>
      <c r="L616" s="1" t="s">
        <v>14</v>
      </c>
    </row>
    <row r="617" spans="1:12" x14ac:dyDescent="0.25">
      <c r="A617" s="1" t="s">
        <v>1318</v>
      </c>
      <c r="B617" s="1" t="str">
        <f>("035650")</f>
        <v>035650</v>
      </c>
      <c r="C617" s="1" t="str">
        <f>("622454356504")</f>
        <v>622454356504</v>
      </c>
      <c r="D617" s="1">
        <v>437166</v>
      </c>
      <c r="E617" t="s">
        <v>901</v>
      </c>
      <c r="F617" s="3">
        <v>3.9042553191489362</v>
      </c>
      <c r="G617" s="1" t="s">
        <v>13</v>
      </c>
      <c r="H617" s="2">
        <v>44621</v>
      </c>
      <c r="I617" s="1">
        <v>6.4000000000000001E-2</v>
      </c>
      <c r="J617" s="1">
        <v>0.14099999999999999</v>
      </c>
      <c r="K617" s="1">
        <v>25</v>
      </c>
      <c r="L617" s="1" t="s">
        <v>14</v>
      </c>
    </row>
    <row r="618" spans="1:12" x14ac:dyDescent="0.25">
      <c r="A618" s="1" t="s">
        <v>1318</v>
      </c>
      <c r="B618" s="1" t="str">
        <f>("035651")</f>
        <v>035651</v>
      </c>
      <c r="C618" s="1" t="str">
        <f>("622454356511")</f>
        <v>622454356511</v>
      </c>
      <c r="D618" s="1">
        <v>437167</v>
      </c>
      <c r="E618" t="s">
        <v>902</v>
      </c>
      <c r="F618" s="3">
        <v>3.9042553191489362</v>
      </c>
      <c r="G618" s="1" t="s">
        <v>13</v>
      </c>
      <c r="H618" s="2">
        <v>44621</v>
      </c>
      <c r="I618" s="1">
        <v>5.6000000000000001E-2</v>
      </c>
      <c r="J618" s="1">
        <v>0.123</v>
      </c>
      <c r="K618" s="1">
        <v>25</v>
      </c>
      <c r="L618" s="1" t="s">
        <v>14</v>
      </c>
    </row>
    <row r="619" spans="1:12" x14ac:dyDescent="0.25">
      <c r="A619" s="1" t="s">
        <v>1318</v>
      </c>
      <c r="B619" s="1" t="str">
        <f>("035652")</f>
        <v>035652</v>
      </c>
      <c r="C619" s="1" t="str">
        <f>("622454356528")</f>
        <v>622454356528</v>
      </c>
      <c r="D619" s="1">
        <v>437168</v>
      </c>
      <c r="E619" t="s">
        <v>903</v>
      </c>
      <c r="F619" s="3">
        <v>3.9042553191489362</v>
      </c>
      <c r="G619" s="1" t="s">
        <v>13</v>
      </c>
      <c r="H619" s="2">
        <v>44621</v>
      </c>
      <c r="I619" s="1">
        <v>0.04</v>
      </c>
      <c r="J619" s="1">
        <v>8.7999999999999995E-2</v>
      </c>
      <c r="K619" s="1">
        <v>25</v>
      </c>
      <c r="L619" s="1" t="s">
        <v>14</v>
      </c>
    </row>
    <row r="620" spans="1:12" x14ac:dyDescent="0.25">
      <c r="A620" s="1" t="s">
        <v>1318</v>
      </c>
      <c r="B620" s="1" t="str">
        <f>("035653")</f>
        <v>035653</v>
      </c>
      <c r="C620" s="1" t="str">
        <f>("622454356535")</f>
        <v>622454356535</v>
      </c>
      <c r="D620" s="1">
        <v>437209</v>
      </c>
      <c r="E620" t="s">
        <v>904</v>
      </c>
      <c r="F620" s="3">
        <v>4.0957446808510642</v>
      </c>
      <c r="G620" s="1" t="s">
        <v>13</v>
      </c>
      <c r="H620" s="2">
        <v>44621</v>
      </c>
      <c r="I620" s="1">
        <v>5.1999999999999998E-2</v>
      </c>
      <c r="J620" s="1">
        <v>0.115</v>
      </c>
      <c r="K620" s="1">
        <v>20</v>
      </c>
      <c r="L620" s="1" t="s">
        <v>14</v>
      </c>
    </row>
    <row r="621" spans="1:12" x14ac:dyDescent="0.25">
      <c r="A621" s="1" t="s">
        <v>1318</v>
      </c>
      <c r="B621" s="1" t="str">
        <f>("035654")</f>
        <v>035654</v>
      </c>
      <c r="C621" s="1" t="str">
        <f>("622454356542")</f>
        <v>622454356542</v>
      </c>
      <c r="D621" s="1">
        <v>437210</v>
      </c>
      <c r="E621" t="s">
        <v>905</v>
      </c>
      <c r="F621" s="3">
        <v>4.0957446808510642</v>
      </c>
      <c r="G621" s="1" t="s">
        <v>13</v>
      </c>
      <c r="H621" s="2">
        <v>44621</v>
      </c>
      <c r="I621" s="1">
        <v>5.5E-2</v>
      </c>
      <c r="J621" s="1">
        <v>0.121</v>
      </c>
      <c r="K621" s="1">
        <v>20</v>
      </c>
      <c r="L621" s="1" t="s">
        <v>14</v>
      </c>
    </row>
    <row r="622" spans="1:12" x14ac:dyDescent="0.25">
      <c r="A622" s="1" t="s">
        <v>1318</v>
      </c>
      <c r="B622" s="1" t="str">
        <f>("035655")</f>
        <v>035655</v>
      </c>
      <c r="C622" s="1" t="str">
        <f>("622454356559")</f>
        <v>622454356559</v>
      </c>
      <c r="D622" s="1">
        <v>437211</v>
      </c>
      <c r="E622" t="s">
        <v>906</v>
      </c>
      <c r="F622" s="3">
        <v>4.0957446808510642</v>
      </c>
      <c r="G622" s="1" t="s">
        <v>13</v>
      </c>
      <c r="H622" s="2">
        <v>44621</v>
      </c>
      <c r="I622" s="1">
        <v>5.5E-2</v>
      </c>
      <c r="J622" s="1">
        <v>0.121</v>
      </c>
      <c r="K622" s="1">
        <v>20</v>
      </c>
      <c r="L622" s="1" t="s">
        <v>14</v>
      </c>
    </row>
    <row r="623" spans="1:12" x14ac:dyDescent="0.25">
      <c r="A623" s="1" t="s">
        <v>1318</v>
      </c>
      <c r="B623" s="1" t="str">
        <f>("035656")</f>
        <v>035656</v>
      </c>
      <c r="C623" s="1" t="str">
        <f>("622454356566")</f>
        <v>622454356566</v>
      </c>
      <c r="D623" s="1">
        <v>437212</v>
      </c>
      <c r="E623" t="s">
        <v>907</v>
      </c>
      <c r="F623" s="3">
        <v>4.0957446808510642</v>
      </c>
      <c r="G623" s="1" t="s">
        <v>13</v>
      </c>
      <c r="H623" s="2">
        <v>44621</v>
      </c>
      <c r="I623" s="1">
        <v>3.2000000000000001E-2</v>
      </c>
      <c r="J623" s="1">
        <v>7.0999999999999994E-2</v>
      </c>
      <c r="K623" s="1">
        <v>20</v>
      </c>
      <c r="L623" s="1" t="s">
        <v>14</v>
      </c>
    </row>
    <row r="624" spans="1:12" x14ac:dyDescent="0.25">
      <c r="A624" s="1" t="s">
        <v>1318</v>
      </c>
      <c r="B624" s="1" t="str">
        <f>("035657")</f>
        <v>035657</v>
      </c>
      <c r="C624" s="1" t="str">
        <f>("622454356573")</f>
        <v>622454356573</v>
      </c>
      <c r="D624" s="1">
        <v>437247</v>
      </c>
      <c r="E624" t="s">
        <v>908</v>
      </c>
      <c r="F624" s="3">
        <v>6.8191489361702136</v>
      </c>
      <c r="G624" s="1" t="s">
        <v>13</v>
      </c>
      <c r="H624" s="2">
        <v>44621</v>
      </c>
      <c r="I624" s="1">
        <v>0.108</v>
      </c>
      <c r="J624" s="1">
        <v>0.23799999999999999</v>
      </c>
      <c r="K624" s="1">
        <v>15</v>
      </c>
      <c r="L624" s="1" t="s">
        <v>14</v>
      </c>
    </row>
    <row r="625" spans="1:12" x14ac:dyDescent="0.25">
      <c r="A625" s="1" t="s">
        <v>1318</v>
      </c>
      <c r="B625" s="1" t="str">
        <f>("035658")</f>
        <v>035658</v>
      </c>
      <c r="C625" s="1" t="str">
        <f>("622454356580")</f>
        <v>622454356580</v>
      </c>
      <c r="D625" s="1">
        <v>437248</v>
      </c>
      <c r="E625" t="s">
        <v>909</v>
      </c>
      <c r="F625" s="3">
        <v>6.8191489361702136</v>
      </c>
      <c r="G625" s="1" t="s">
        <v>13</v>
      </c>
      <c r="H625" s="2">
        <v>44621</v>
      </c>
      <c r="I625" s="1">
        <v>0.12</v>
      </c>
      <c r="J625" s="1">
        <v>0.26500000000000001</v>
      </c>
      <c r="K625" s="1">
        <v>15</v>
      </c>
      <c r="L625" s="1" t="s">
        <v>14</v>
      </c>
    </row>
    <row r="626" spans="1:12" x14ac:dyDescent="0.25">
      <c r="A626" s="1" t="s">
        <v>1318</v>
      </c>
      <c r="B626" s="1" t="str">
        <f>("035659")</f>
        <v>035659</v>
      </c>
      <c r="C626" s="1" t="str">
        <f>("622454356597")</f>
        <v>622454356597</v>
      </c>
      <c r="D626" s="1">
        <v>437249</v>
      </c>
      <c r="E626" t="s">
        <v>910</v>
      </c>
      <c r="F626" s="3">
        <v>6.8191489361702136</v>
      </c>
      <c r="G626" s="1" t="s">
        <v>13</v>
      </c>
      <c r="H626" s="2">
        <v>44621</v>
      </c>
      <c r="I626" s="1">
        <v>8.7999999999999995E-2</v>
      </c>
      <c r="J626" s="1">
        <v>0.19400000000000001</v>
      </c>
      <c r="K626" s="1">
        <v>15</v>
      </c>
      <c r="L626" s="1" t="s">
        <v>14</v>
      </c>
    </row>
    <row r="627" spans="1:12" x14ac:dyDescent="0.25">
      <c r="A627" s="1" t="s">
        <v>1318</v>
      </c>
      <c r="B627" s="1" t="str">
        <f>("035660")</f>
        <v>035660</v>
      </c>
      <c r="C627" s="1" t="str">
        <f>("622454356603")</f>
        <v>622454356603</v>
      </c>
      <c r="D627" s="1">
        <v>437250</v>
      </c>
      <c r="E627" t="s">
        <v>911</v>
      </c>
      <c r="F627" s="3">
        <v>6.8191489361702136</v>
      </c>
      <c r="G627" s="1" t="s">
        <v>13</v>
      </c>
      <c r="H627" s="2">
        <v>44621</v>
      </c>
      <c r="I627" s="1">
        <v>0.111</v>
      </c>
      <c r="J627" s="1">
        <v>0.245</v>
      </c>
      <c r="K627" s="1">
        <v>15</v>
      </c>
      <c r="L627" s="1" t="s">
        <v>14</v>
      </c>
    </row>
    <row r="628" spans="1:12" x14ac:dyDescent="0.25">
      <c r="A628" s="1" t="s">
        <v>1318</v>
      </c>
      <c r="B628" s="1" t="str">
        <f>("035661")</f>
        <v>035661</v>
      </c>
      <c r="C628" s="1" t="str">
        <f>("622454356610")</f>
        <v>622454356610</v>
      </c>
      <c r="D628" s="1">
        <v>437251</v>
      </c>
      <c r="E628" t="s">
        <v>912</v>
      </c>
      <c r="F628" s="3">
        <v>6.8191489361702136</v>
      </c>
      <c r="G628" s="1" t="s">
        <v>13</v>
      </c>
      <c r="H628" s="2">
        <v>44621</v>
      </c>
      <c r="I628" s="1">
        <v>0.06</v>
      </c>
      <c r="J628" s="1">
        <v>0.13200000000000001</v>
      </c>
      <c r="K628" s="1">
        <v>15</v>
      </c>
      <c r="L628" s="1" t="s">
        <v>14</v>
      </c>
    </row>
    <row r="629" spans="1:12" x14ac:dyDescent="0.25">
      <c r="A629" s="1" t="s">
        <v>1318</v>
      </c>
      <c r="B629" s="1" t="str">
        <f>("035662")</f>
        <v>035662</v>
      </c>
      <c r="C629" s="1" t="str">
        <f>("622454356627")</f>
        <v>622454356627</v>
      </c>
      <c r="D629" s="1">
        <v>437287</v>
      </c>
      <c r="E629" t="s">
        <v>913</v>
      </c>
      <c r="F629" s="3">
        <v>10.925531914893616</v>
      </c>
      <c r="G629" s="1" t="s">
        <v>13</v>
      </c>
      <c r="H629" s="2">
        <v>44621</v>
      </c>
      <c r="I629" s="1">
        <v>0.14499999999999999</v>
      </c>
      <c r="J629" s="1">
        <v>0.32</v>
      </c>
      <c r="K629" s="1">
        <v>10</v>
      </c>
      <c r="L629" s="1" t="s">
        <v>14</v>
      </c>
    </row>
    <row r="630" spans="1:12" x14ac:dyDescent="0.25">
      <c r="A630" s="1" t="s">
        <v>1318</v>
      </c>
      <c r="B630" s="1" t="str">
        <f>("035663")</f>
        <v>035663</v>
      </c>
      <c r="C630" s="1" t="str">
        <f>("622454356634")</f>
        <v>622454356634</v>
      </c>
      <c r="D630" s="1">
        <v>437288</v>
      </c>
      <c r="E630" t="s">
        <v>914</v>
      </c>
      <c r="F630" s="3">
        <v>10.925531914893616</v>
      </c>
      <c r="G630" s="1" t="s">
        <v>13</v>
      </c>
      <c r="H630" s="2">
        <v>44621</v>
      </c>
      <c r="I630" s="1">
        <v>0.15</v>
      </c>
      <c r="J630" s="1">
        <v>0.33100000000000002</v>
      </c>
      <c r="K630" s="1">
        <v>10</v>
      </c>
      <c r="L630" s="1" t="s">
        <v>14</v>
      </c>
    </row>
    <row r="631" spans="1:12" x14ac:dyDescent="0.25">
      <c r="A631" s="1" t="s">
        <v>1318</v>
      </c>
      <c r="B631" s="1" t="str">
        <f>("035664")</f>
        <v>035664</v>
      </c>
      <c r="C631" s="1" t="str">
        <f>("622454356641")</f>
        <v>622454356641</v>
      </c>
      <c r="D631" s="1">
        <v>437289</v>
      </c>
      <c r="E631" t="s">
        <v>915</v>
      </c>
      <c r="F631" s="3">
        <v>10.925531914893616</v>
      </c>
      <c r="G631" s="1" t="s">
        <v>13</v>
      </c>
      <c r="H631" s="2">
        <v>44621</v>
      </c>
      <c r="I631" s="1">
        <v>0.154</v>
      </c>
      <c r="J631" s="1">
        <v>0.34</v>
      </c>
      <c r="K631" s="1">
        <v>10</v>
      </c>
      <c r="L631" s="1" t="s">
        <v>14</v>
      </c>
    </row>
    <row r="632" spans="1:12" x14ac:dyDescent="0.25">
      <c r="A632" s="1" t="s">
        <v>1318</v>
      </c>
      <c r="B632" s="1" t="str">
        <f>("035665")</f>
        <v>035665</v>
      </c>
      <c r="C632" s="1" t="str">
        <f>("622454356658")</f>
        <v>622454356658</v>
      </c>
      <c r="D632" s="1">
        <v>437290</v>
      </c>
      <c r="E632" t="s">
        <v>916</v>
      </c>
      <c r="F632" s="3">
        <v>10.925531914893616</v>
      </c>
      <c r="G632" s="1" t="s">
        <v>13</v>
      </c>
      <c r="H632" s="2">
        <v>44621</v>
      </c>
      <c r="I632" s="1">
        <v>0.19700000000000001</v>
      </c>
      <c r="J632" s="1">
        <v>0.434</v>
      </c>
      <c r="K632" s="1">
        <v>20</v>
      </c>
      <c r="L632" s="1" t="s">
        <v>14</v>
      </c>
    </row>
    <row r="633" spans="1:12" x14ac:dyDescent="0.25">
      <c r="A633" s="1" t="s">
        <v>1318</v>
      </c>
      <c r="B633" s="1" t="str">
        <f>("035666")</f>
        <v>035666</v>
      </c>
      <c r="C633" s="1" t="str">
        <f>("622454356665")</f>
        <v>622454356665</v>
      </c>
      <c r="D633" s="1">
        <v>437291</v>
      </c>
      <c r="E633" t="s">
        <v>917</v>
      </c>
      <c r="F633" s="3">
        <v>10.925531914893616</v>
      </c>
      <c r="G633" s="1" t="s">
        <v>13</v>
      </c>
      <c r="H633" s="2">
        <v>44621</v>
      </c>
      <c r="I633" s="1">
        <v>0.20699999999999999</v>
      </c>
      <c r="J633" s="1">
        <v>0.45600000000000002</v>
      </c>
      <c r="K633" s="1">
        <v>10</v>
      </c>
      <c r="L633" s="1" t="s">
        <v>14</v>
      </c>
    </row>
    <row r="634" spans="1:12" x14ac:dyDescent="0.25">
      <c r="A634" s="1" t="s">
        <v>1318</v>
      </c>
      <c r="B634" s="1" t="str">
        <f>("035667")</f>
        <v>035667</v>
      </c>
      <c r="C634" s="1" t="str">
        <f>("622454356672")</f>
        <v>622454356672</v>
      </c>
      <c r="D634" s="1">
        <v>437292</v>
      </c>
      <c r="E634" t="s">
        <v>918</v>
      </c>
      <c r="F634" s="3">
        <v>10.925531914893616</v>
      </c>
      <c r="G634" s="1" t="s">
        <v>13</v>
      </c>
      <c r="H634" s="2">
        <v>44621</v>
      </c>
      <c r="I634" s="1">
        <v>0.14000000000000001</v>
      </c>
      <c r="J634" s="1">
        <v>0.309</v>
      </c>
      <c r="K634" s="1">
        <v>10</v>
      </c>
      <c r="L634" s="1" t="s">
        <v>14</v>
      </c>
    </row>
    <row r="635" spans="1:12" x14ac:dyDescent="0.25">
      <c r="A635" s="1" t="s">
        <v>1318</v>
      </c>
      <c r="B635" s="1" t="str">
        <f>("035668")</f>
        <v>035668</v>
      </c>
      <c r="C635" s="1" t="str">
        <f>("622454356689")</f>
        <v>622454356689</v>
      </c>
      <c r="D635" s="1">
        <v>437334</v>
      </c>
      <c r="E635" t="s">
        <v>919</v>
      </c>
      <c r="F635" s="3">
        <v>16.074468085106382</v>
      </c>
      <c r="G635" s="1" t="s">
        <v>13</v>
      </c>
      <c r="H635" s="2">
        <v>44621</v>
      </c>
      <c r="I635" s="1">
        <v>0.218</v>
      </c>
      <c r="J635" s="1">
        <v>0.48099999999999998</v>
      </c>
      <c r="K635" s="1">
        <v>10</v>
      </c>
      <c r="L635" s="1" t="s">
        <v>14</v>
      </c>
    </row>
    <row r="636" spans="1:12" x14ac:dyDescent="0.25">
      <c r="A636" s="1" t="s">
        <v>1318</v>
      </c>
      <c r="B636" s="1" t="str">
        <f>("035669")</f>
        <v>035669</v>
      </c>
      <c r="C636" s="1" t="str">
        <f>("622454356696")</f>
        <v>622454356696</v>
      </c>
      <c r="D636" s="1">
        <v>437335</v>
      </c>
      <c r="E636" t="s">
        <v>920</v>
      </c>
      <c r="F636" s="3">
        <v>16.074468085106382</v>
      </c>
      <c r="G636" s="1" t="s">
        <v>13</v>
      </c>
      <c r="H636" s="2">
        <v>44621</v>
      </c>
      <c r="I636" s="1">
        <v>0.27200000000000002</v>
      </c>
      <c r="J636" s="1">
        <v>0.6</v>
      </c>
      <c r="K636" s="1">
        <v>20</v>
      </c>
      <c r="L636" s="1" t="s">
        <v>14</v>
      </c>
    </row>
    <row r="637" spans="1:12" x14ac:dyDescent="0.25">
      <c r="A637" s="1" t="s">
        <v>1318</v>
      </c>
      <c r="B637" s="1" t="str">
        <f>("035670")</f>
        <v>035670</v>
      </c>
      <c r="C637" s="1" t="str">
        <f>("622454356702")</f>
        <v>622454356702</v>
      </c>
      <c r="D637" s="1">
        <v>437336</v>
      </c>
      <c r="E637" t="s">
        <v>921</v>
      </c>
      <c r="F637" s="3">
        <v>16.074468085106382</v>
      </c>
      <c r="G637" s="1" t="s">
        <v>13</v>
      </c>
      <c r="H637" s="2">
        <v>44621</v>
      </c>
      <c r="I637" s="1">
        <v>0.218</v>
      </c>
      <c r="J637" s="1">
        <v>0.48099999999999998</v>
      </c>
      <c r="K637" s="1">
        <v>10</v>
      </c>
      <c r="L637" s="1" t="s">
        <v>14</v>
      </c>
    </row>
    <row r="638" spans="1:12" x14ac:dyDescent="0.25">
      <c r="A638" s="1" t="s">
        <v>1318</v>
      </c>
      <c r="B638" s="1" t="str">
        <f>("035671")</f>
        <v>035671</v>
      </c>
      <c r="C638" s="1" t="str">
        <f>("622454356719")</f>
        <v>622454356719</v>
      </c>
      <c r="D638" s="1">
        <v>437337</v>
      </c>
      <c r="E638" t="s">
        <v>922</v>
      </c>
      <c r="F638" s="3">
        <v>16.074468085106382</v>
      </c>
      <c r="G638" s="1" t="s">
        <v>13</v>
      </c>
      <c r="H638" s="2">
        <v>44621</v>
      </c>
      <c r="I638" s="1">
        <v>0.247</v>
      </c>
      <c r="J638" s="1">
        <v>0.54500000000000004</v>
      </c>
      <c r="K638" s="1">
        <v>20</v>
      </c>
      <c r="L638" s="1" t="s">
        <v>14</v>
      </c>
    </row>
    <row r="639" spans="1:12" x14ac:dyDescent="0.25">
      <c r="A639" s="1" t="s">
        <v>1318</v>
      </c>
      <c r="B639" s="1" t="str">
        <f>("035672")</f>
        <v>035672</v>
      </c>
      <c r="C639" s="1" t="str">
        <f>("622454356726")</f>
        <v>622454356726</v>
      </c>
      <c r="D639" s="1">
        <v>437338</v>
      </c>
      <c r="E639" t="s">
        <v>923</v>
      </c>
      <c r="F639" s="3">
        <v>16.074468085106382</v>
      </c>
      <c r="G639" s="1" t="s">
        <v>13</v>
      </c>
      <c r="H639" s="2">
        <v>44621</v>
      </c>
      <c r="I639" s="1">
        <v>0.28299999999999997</v>
      </c>
      <c r="J639" s="1">
        <v>0.624</v>
      </c>
      <c r="K639" s="1">
        <v>20</v>
      </c>
      <c r="L639" s="1" t="s">
        <v>14</v>
      </c>
    </row>
    <row r="640" spans="1:12" x14ac:dyDescent="0.25">
      <c r="A640" s="1" t="s">
        <v>1318</v>
      </c>
      <c r="B640" s="1" t="str">
        <f>("035673")</f>
        <v>035673</v>
      </c>
      <c r="C640" s="1" t="str">
        <f>("622454356733")</f>
        <v>622454356733</v>
      </c>
      <c r="D640" s="1">
        <v>437339</v>
      </c>
      <c r="E640" t="s">
        <v>924</v>
      </c>
      <c r="F640" s="3">
        <v>16.074468085106382</v>
      </c>
      <c r="G640" s="1" t="s">
        <v>13</v>
      </c>
      <c r="H640" s="2">
        <v>44621</v>
      </c>
      <c r="I640" s="1">
        <v>0.188</v>
      </c>
      <c r="J640" s="1">
        <v>0.41399999999999998</v>
      </c>
      <c r="K640" s="1">
        <v>20</v>
      </c>
      <c r="L640" s="1" t="s">
        <v>14</v>
      </c>
    </row>
    <row r="641" spans="1:12" x14ac:dyDescent="0.25">
      <c r="A641" s="1" t="s">
        <v>1318</v>
      </c>
      <c r="B641" s="1" t="str">
        <f>("035677")</f>
        <v>035677</v>
      </c>
      <c r="C641" s="1" t="str">
        <f>("622454356771")</f>
        <v>622454356771</v>
      </c>
      <c r="D641" s="1">
        <v>437420</v>
      </c>
      <c r="E641" t="s">
        <v>925</v>
      </c>
      <c r="F641" s="3">
        <v>35.98936170212766</v>
      </c>
      <c r="G641" s="1" t="s">
        <v>13</v>
      </c>
      <c r="H641" s="2">
        <v>44621</v>
      </c>
      <c r="I641" s="1">
        <v>0.498</v>
      </c>
      <c r="J641" s="1">
        <v>1.0980000000000001</v>
      </c>
      <c r="K641" s="1">
        <v>20</v>
      </c>
      <c r="L641" s="1" t="s">
        <v>14</v>
      </c>
    </row>
    <row r="642" spans="1:12" x14ac:dyDescent="0.25">
      <c r="A642" s="1" t="s">
        <v>1318</v>
      </c>
      <c r="B642" s="1" t="str">
        <f>("035678")</f>
        <v>035678</v>
      </c>
      <c r="C642" s="1" t="str">
        <f>("622454356788")</f>
        <v>622454356788</v>
      </c>
      <c r="D642" s="1">
        <v>437421</v>
      </c>
      <c r="E642" t="s">
        <v>926</v>
      </c>
      <c r="F642" s="3">
        <v>35.98936170212766</v>
      </c>
      <c r="G642" s="1" t="s">
        <v>13</v>
      </c>
      <c r="H642" s="2">
        <v>44621</v>
      </c>
      <c r="I642" s="1">
        <v>0.39900000000000002</v>
      </c>
      <c r="J642" s="1">
        <v>0.88</v>
      </c>
      <c r="K642" s="1">
        <v>6</v>
      </c>
      <c r="L642" s="1" t="s">
        <v>14</v>
      </c>
    </row>
    <row r="643" spans="1:12" x14ac:dyDescent="0.25">
      <c r="A643" s="1" t="s">
        <v>1318</v>
      </c>
      <c r="B643" s="1" t="str">
        <f>("035679")</f>
        <v>035679</v>
      </c>
      <c r="C643" s="1" t="str">
        <f>("622454356795")</f>
        <v>622454356795</v>
      </c>
      <c r="D643" s="1">
        <v>437422</v>
      </c>
      <c r="E643" t="s">
        <v>927</v>
      </c>
      <c r="F643" s="3">
        <v>35.98936170212766</v>
      </c>
      <c r="G643" s="1" t="s">
        <v>13</v>
      </c>
      <c r="H643" s="2">
        <v>44621</v>
      </c>
      <c r="I643" s="1">
        <v>0.40799999999999997</v>
      </c>
      <c r="J643" s="1">
        <v>0.89900000000000002</v>
      </c>
      <c r="K643" s="1">
        <v>20</v>
      </c>
      <c r="L643" s="1" t="s">
        <v>14</v>
      </c>
    </row>
    <row r="644" spans="1:12" x14ac:dyDescent="0.25">
      <c r="A644" s="1" t="s">
        <v>1318</v>
      </c>
      <c r="B644" s="1" t="str">
        <f>("035680")</f>
        <v>035680</v>
      </c>
      <c r="C644" s="1" t="str">
        <f>("622454356801")</f>
        <v>622454356801</v>
      </c>
      <c r="D644" s="1">
        <v>437486</v>
      </c>
      <c r="E644" t="s">
        <v>928</v>
      </c>
      <c r="F644" s="3">
        <v>50.617021276595743</v>
      </c>
      <c r="G644" s="1" t="s">
        <v>13</v>
      </c>
      <c r="H644" s="2">
        <v>44621</v>
      </c>
      <c r="I644" s="1">
        <v>0.68</v>
      </c>
      <c r="J644" s="1">
        <v>1.4990000000000001</v>
      </c>
      <c r="K644" s="1">
        <v>5</v>
      </c>
      <c r="L644" s="1" t="s">
        <v>14</v>
      </c>
    </row>
    <row r="645" spans="1:12" x14ac:dyDescent="0.25">
      <c r="A645" s="1" t="s">
        <v>1318</v>
      </c>
      <c r="B645" s="1" t="str">
        <f>("035681")</f>
        <v>035681</v>
      </c>
      <c r="C645" s="1" t="str">
        <f>("622454356818")</f>
        <v>622454356818</v>
      </c>
      <c r="D645" s="1">
        <v>437488</v>
      </c>
      <c r="E645" t="s">
        <v>929</v>
      </c>
      <c r="F645" s="3">
        <v>50.617021276595743</v>
      </c>
      <c r="G645" s="1" t="s">
        <v>13</v>
      </c>
      <c r="H645" s="2">
        <v>44621</v>
      </c>
      <c r="I645" s="1">
        <v>0.68</v>
      </c>
      <c r="J645" s="1">
        <v>1.4990000000000001</v>
      </c>
      <c r="K645" s="1">
        <v>5</v>
      </c>
      <c r="L645" s="1" t="s">
        <v>14</v>
      </c>
    </row>
    <row r="646" spans="1:12" x14ac:dyDescent="0.25">
      <c r="A646" s="1" t="s">
        <v>1318</v>
      </c>
      <c r="B646" s="1" t="str">
        <f>("035682")</f>
        <v>035682</v>
      </c>
      <c r="C646" s="1" t="str">
        <f>("622454356825")</f>
        <v>622454356825</v>
      </c>
      <c r="D646" s="1">
        <v>437490</v>
      </c>
      <c r="E646" t="s">
        <v>930</v>
      </c>
      <c r="F646" s="3">
        <v>50.617021276595743</v>
      </c>
      <c r="G646" s="1" t="s">
        <v>13</v>
      </c>
      <c r="H646" s="2">
        <v>44621</v>
      </c>
      <c r="I646" s="1">
        <v>0.59</v>
      </c>
      <c r="J646" s="1">
        <v>1.3009999999999999</v>
      </c>
      <c r="K646" s="1">
        <v>4</v>
      </c>
      <c r="L646" s="1" t="s">
        <v>14</v>
      </c>
    </row>
    <row r="647" spans="1:12" x14ac:dyDescent="0.25">
      <c r="A647" s="1" t="s">
        <v>1318</v>
      </c>
      <c r="B647" s="1" t="str">
        <f>("035683")</f>
        <v>035683</v>
      </c>
      <c r="C647" s="1" t="str">
        <f>("622454356832")</f>
        <v>622454356832</v>
      </c>
      <c r="D647" s="1">
        <v>437528</v>
      </c>
      <c r="E647" t="s">
        <v>931</v>
      </c>
      <c r="F647" s="3">
        <v>89.170212765957444</v>
      </c>
      <c r="G647" s="1" t="s">
        <v>13</v>
      </c>
      <c r="H647" s="2">
        <v>44621</v>
      </c>
      <c r="I647" s="1">
        <v>1.361</v>
      </c>
      <c r="J647" s="1">
        <v>3</v>
      </c>
      <c r="K647" s="1">
        <v>5</v>
      </c>
      <c r="L647" s="1" t="s">
        <v>14</v>
      </c>
    </row>
    <row r="648" spans="1:12" x14ac:dyDescent="0.25">
      <c r="A648" s="1" t="s">
        <v>1318</v>
      </c>
      <c r="B648" s="1" t="str">
        <f>("035684")</f>
        <v>035684</v>
      </c>
      <c r="C648" s="1" t="str">
        <f>("622454356849")</f>
        <v>622454356849</v>
      </c>
      <c r="D648" s="1">
        <v>437530</v>
      </c>
      <c r="E648" t="s">
        <v>932</v>
      </c>
      <c r="F648" s="3">
        <v>89.170212765957444</v>
      </c>
      <c r="G648" s="1" t="s">
        <v>13</v>
      </c>
      <c r="H648" s="2">
        <v>44621</v>
      </c>
      <c r="I648" s="1">
        <v>1.21</v>
      </c>
      <c r="J648" s="1">
        <v>2.6680000000000001</v>
      </c>
      <c r="K648" s="1">
        <v>10</v>
      </c>
      <c r="L648" s="1" t="s">
        <v>14</v>
      </c>
    </row>
    <row r="649" spans="1:12" x14ac:dyDescent="0.25">
      <c r="A649" s="1" t="s">
        <v>1318</v>
      </c>
      <c r="B649" s="1" t="str">
        <f>("035685")</f>
        <v>035685</v>
      </c>
      <c r="C649" s="1" t="str">
        <f>("622454356856")</f>
        <v>622454356856</v>
      </c>
      <c r="D649" s="1">
        <v>437532</v>
      </c>
      <c r="E649" t="s">
        <v>933</v>
      </c>
      <c r="F649" s="3">
        <v>89.170212765957444</v>
      </c>
      <c r="G649" s="1" t="s">
        <v>13</v>
      </c>
      <c r="H649" s="2">
        <v>44621</v>
      </c>
      <c r="I649" s="1">
        <v>1.1879999999999999</v>
      </c>
      <c r="J649" s="1">
        <v>2.6190000000000002</v>
      </c>
      <c r="K649" s="1">
        <v>10</v>
      </c>
      <c r="L649" s="1" t="s">
        <v>14</v>
      </c>
    </row>
    <row r="650" spans="1:12" x14ac:dyDescent="0.25">
      <c r="A650" s="1" t="s">
        <v>1318</v>
      </c>
      <c r="B650" s="1" t="str">
        <f>("035686")</f>
        <v>035686</v>
      </c>
      <c r="C650" s="1" t="str">
        <f>("622454356863")</f>
        <v>622454356863</v>
      </c>
      <c r="D650" s="1">
        <v>437534</v>
      </c>
      <c r="E650" t="s">
        <v>934</v>
      </c>
      <c r="F650" s="3">
        <v>89.170212765957444</v>
      </c>
      <c r="G650" s="1" t="s">
        <v>13</v>
      </c>
      <c r="H650" s="2">
        <v>44621</v>
      </c>
      <c r="I650" s="1">
        <v>0.90700000000000003</v>
      </c>
      <c r="J650" s="1">
        <v>2</v>
      </c>
      <c r="K650" s="1">
        <v>5</v>
      </c>
      <c r="L650" s="1" t="s">
        <v>14</v>
      </c>
    </row>
    <row r="651" spans="1:12" x14ac:dyDescent="0.25">
      <c r="A651" s="1" t="s">
        <v>1318</v>
      </c>
      <c r="B651" s="1" t="str">
        <f>("035687")</f>
        <v>035687</v>
      </c>
      <c r="C651" s="1" t="str">
        <f>("622454356870")</f>
        <v>622454356870</v>
      </c>
      <c r="D651" s="1">
        <v>437582</v>
      </c>
      <c r="E651" t="s">
        <v>935</v>
      </c>
      <c r="F651" s="3">
        <v>310.81914893617022</v>
      </c>
      <c r="G651" s="1" t="s">
        <v>13</v>
      </c>
      <c r="H651" s="2">
        <v>44621</v>
      </c>
      <c r="I651" s="1">
        <v>1.905</v>
      </c>
      <c r="J651" s="1">
        <v>4.2</v>
      </c>
      <c r="K651" s="1">
        <v>4</v>
      </c>
      <c r="L651" s="1" t="s">
        <v>14</v>
      </c>
    </row>
    <row r="652" spans="1:12" x14ac:dyDescent="0.25">
      <c r="A652" s="1" t="s">
        <v>1318</v>
      </c>
      <c r="B652" s="1" t="str">
        <f>("035688")</f>
        <v>035688</v>
      </c>
      <c r="C652" s="1" t="str">
        <f>("622454356887")</f>
        <v>622454356887</v>
      </c>
      <c r="D652" s="1">
        <v>437585</v>
      </c>
      <c r="E652" t="s">
        <v>936</v>
      </c>
      <c r="F652" s="3">
        <v>310.81914893617022</v>
      </c>
      <c r="G652" s="1" t="s">
        <v>13</v>
      </c>
      <c r="H652" s="2">
        <v>44621</v>
      </c>
      <c r="I652" s="1">
        <v>2.508</v>
      </c>
      <c r="J652" s="1">
        <v>5.5289999999999999</v>
      </c>
      <c r="K652" s="1">
        <v>5</v>
      </c>
      <c r="L652" s="1" t="s">
        <v>14</v>
      </c>
    </row>
    <row r="653" spans="1:12" x14ac:dyDescent="0.25">
      <c r="A653" s="1" t="s">
        <v>1318</v>
      </c>
      <c r="B653" s="1" t="str">
        <f>("235690")</f>
        <v>235690</v>
      </c>
      <c r="C653" s="1" t="str">
        <f>("622454397149")</f>
        <v>622454397149</v>
      </c>
      <c r="D653" s="1">
        <v>437626</v>
      </c>
      <c r="E653" t="s">
        <v>937</v>
      </c>
      <c r="F653" s="3">
        <v>930.63829787234044</v>
      </c>
      <c r="G653" s="1" t="s">
        <v>13</v>
      </c>
      <c r="H653" s="2">
        <v>44621</v>
      </c>
      <c r="I653" s="1">
        <v>2.79</v>
      </c>
      <c r="J653" s="1">
        <v>6.1509999999999998</v>
      </c>
      <c r="K653" s="1">
        <v>1</v>
      </c>
      <c r="L653" s="1" t="s">
        <v>27</v>
      </c>
    </row>
    <row r="654" spans="1:12" x14ac:dyDescent="0.25">
      <c r="A654" s="1" t="s">
        <v>1318</v>
      </c>
      <c r="B654" s="1" t="str">
        <f>("035691")</f>
        <v>035691</v>
      </c>
      <c r="C654" s="1" t="str">
        <f>("622454356917")</f>
        <v>622454356917</v>
      </c>
      <c r="D654" s="1">
        <v>437628</v>
      </c>
      <c r="E654" t="s">
        <v>938</v>
      </c>
      <c r="F654" s="3">
        <v>930.63829787234044</v>
      </c>
      <c r="G654" s="1" t="s">
        <v>13</v>
      </c>
      <c r="H654" s="2">
        <v>44621</v>
      </c>
      <c r="I654" s="1">
        <v>4.2</v>
      </c>
      <c r="J654" s="1">
        <v>9.2590000000000003</v>
      </c>
      <c r="K654" s="1">
        <v>2</v>
      </c>
      <c r="L654" s="1" t="s">
        <v>27</v>
      </c>
    </row>
    <row r="655" spans="1:12" x14ac:dyDescent="0.25">
      <c r="A655" s="1" t="s">
        <v>1318</v>
      </c>
      <c r="B655" s="1" t="str">
        <f>("235693")</f>
        <v>235693</v>
      </c>
      <c r="C655" s="1" t="str">
        <f>("622454397163")</f>
        <v>622454397163</v>
      </c>
      <c r="D655" s="1">
        <v>437668</v>
      </c>
      <c r="E655" t="s">
        <v>939</v>
      </c>
      <c r="F655" s="3">
        <v>1035.0319148936171</v>
      </c>
      <c r="G655" s="1" t="s">
        <v>13</v>
      </c>
      <c r="H655" s="2">
        <v>44621</v>
      </c>
      <c r="I655" s="1">
        <v>4.6900000000000004</v>
      </c>
      <c r="J655" s="1">
        <v>10.34</v>
      </c>
      <c r="K655" s="1">
        <v>1</v>
      </c>
      <c r="L655" s="1" t="s">
        <v>27</v>
      </c>
    </row>
    <row r="656" spans="1:12" x14ac:dyDescent="0.25">
      <c r="A656" s="1" t="s">
        <v>1318</v>
      </c>
      <c r="B656" s="1" t="str">
        <f>("235694")</f>
        <v>235694</v>
      </c>
      <c r="C656" s="1" t="str">
        <f>("622454397170")</f>
        <v>622454397170</v>
      </c>
      <c r="D656" s="1">
        <v>437670</v>
      </c>
      <c r="E656" t="s">
        <v>940</v>
      </c>
      <c r="F656" s="3">
        <v>1035.0319148936171</v>
      </c>
      <c r="G656" s="1" t="s">
        <v>13</v>
      </c>
      <c r="H656" s="2">
        <v>44621</v>
      </c>
      <c r="I656" s="1">
        <v>5.07</v>
      </c>
      <c r="J656" s="1">
        <v>11.177</v>
      </c>
      <c r="K656" s="1">
        <v>1</v>
      </c>
      <c r="L656" s="1" t="s">
        <v>27</v>
      </c>
    </row>
    <row r="657" spans="1:12" x14ac:dyDescent="0.25">
      <c r="A657" s="1" t="s">
        <v>1318</v>
      </c>
      <c r="B657" s="1" t="str">
        <f>("125715")</f>
        <v>125715</v>
      </c>
      <c r="C657" s="1" t="str">
        <f>("622454465565")</f>
        <v>622454465565</v>
      </c>
      <c r="D657" s="1" t="s">
        <v>941</v>
      </c>
      <c r="E657" t="s">
        <v>942</v>
      </c>
      <c r="F657" s="3">
        <v>268.01</v>
      </c>
      <c r="G657" s="1" t="s">
        <v>13</v>
      </c>
      <c r="H657" s="2">
        <v>44621</v>
      </c>
      <c r="I657" s="1">
        <v>2.319</v>
      </c>
      <c r="J657" s="1">
        <v>5.1130000000000004</v>
      </c>
      <c r="K657" s="1">
        <v>1</v>
      </c>
      <c r="L657" s="1" t="s">
        <v>31</v>
      </c>
    </row>
    <row r="658" spans="1:12" x14ac:dyDescent="0.25">
      <c r="A658" s="1" t="s">
        <v>1318</v>
      </c>
      <c r="B658" s="1" t="str">
        <f>("035689")</f>
        <v>035689</v>
      </c>
      <c r="C658" s="1" t="str">
        <f>("622454356894")</f>
        <v>622454356894</v>
      </c>
      <c r="D658" s="1" t="s">
        <v>943</v>
      </c>
      <c r="E658" t="s">
        <v>944</v>
      </c>
      <c r="F658" s="3">
        <v>688.31</v>
      </c>
      <c r="G658" s="1" t="s">
        <v>13</v>
      </c>
      <c r="H658" s="2">
        <v>44621</v>
      </c>
      <c r="I658" s="1">
        <v>43.969000000000001</v>
      </c>
      <c r="J658" s="1">
        <v>96.935000000000002</v>
      </c>
      <c r="K658" s="1">
        <v>2</v>
      </c>
      <c r="L658" s="1" t="s">
        <v>31</v>
      </c>
    </row>
    <row r="659" spans="1:12" x14ac:dyDescent="0.25">
      <c r="A659" s="1" t="s">
        <v>1318</v>
      </c>
      <c r="B659" s="1" t="str">
        <f>("125717")</f>
        <v>125717</v>
      </c>
      <c r="C659" s="1" t="str">
        <f>("622454465589")</f>
        <v>622454465589</v>
      </c>
      <c r="D659" s="1" t="s">
        <v>945</v>
      </c>
      <c r="E659" t="s">
        <v>946</v>
      </c>
      <c r="F659" s="3">
        <v>624.33000000000004</v>
      </c>
      <c r="G659" s="1" t="s">
        <v>13</v>
      </c>
      <c r="H659" s="2">
        <v>44621</v>
      </c>
      <c r="I659" s="1">
        <v>15.576000000000001</v>
      </c>
      <c r="J659" s="1">
        <v>34.338999999999999</v>
      </c>
      <c r="L659" s="1" t="s">
        <v>31</v>
      </c>
    </row>
    <row r="660" spans="1:12" x14ac:dyDescent="0.25">
      <c r="A660" s="1" t="s">
        <v>1318</v>
      </c>
      <c r="B660" s="1" t="str">
        <f>("125718")</f>
        <v>125718</v>
      </c>
      <c r="C660" s="1" t="str">
        <f>("622454465596")</f>
        <v>622454465596</v>
      </c>
      <c r="D660" s="1" t="s">
        <v>947</v>
      </c>
      <c r="E660" t="s">
        <v>948</v>
      </c>
      <c r="F660" s="3">
        <v>592.35</v>
      </c>
      <c r="G660" s="1" t="s">
        <v>13</v>
      </c>
      <c r="H660" s="2">
        <v>44621</v>
      </c>
      <c r="I660" s="1">
        <v>7.2030000000000003</v>
      </c>
      <c r="J660" s="1">
        <v>15.88</v>
      </c>
      <c r="K660" s="1">
        <v>1</v>
      </c>
      <c r="L660" s="1" t="s">
        <v>31</v>
      </c>
    </row>
    <row r="661" spans="1:12" x14ac:dyDescent="0.25">
      <c r="A661" s="1" t="s">
        <v>1318</v>
      </c>
      <c r="B661" s="1" t="str">
        <f>("035041")</f>
        <v>035041</v>
      </c>
      <c r="C661" s="1" t="str">
        <f>("622454350410")</f>
        <v>622454350410</v>
      </c>
      <c r="D661" s="1" t="s">
        <v>949</v>
      </c>
      <c r="E661" t="s">
        <v>950</v>
      </c>
      <c r="F661" s="3">
        <v>929.7</v>
      </c>
      <c r="G661" s="1" t="s">
        <v>13</v>
      </c>
      <c r="H661" s="2">
        <v>44621</v>
      </c>
      <c r="I661" s="1">
        <v>11.787000000000001</v>
      </c>
      <c r="J661" s="1">
        <v>25.986000000000001</v>
      </c>
      <c r="L661" s="1" t="s">
        <v>31</v>
      </c>
    </row>
    <row r="662" spans="1:12" x14ac:dyDescent="0.25">
      <c r="A662" s="1" t="s">
        <v>1318</v>
      </c>
      <c r="B662" s="1" t="str">
        <f>("125000")</f>
        <v>125000</v>
      </c>
      <c r="C662" s="1" t="str">
        <f>("622454805439")</f>
        <v>622454805439</v>
      </c>
      <c r="D662" s="1" t="s">
        <v>951</v>
      </c>
      <c r="E662" t="s">
        <v>952</v>
      </c>
      <c r="F662" s="3">
        <v>643.57000000000005</v>
      </c>
      <c r="G662" s="1" t="s">
        <v>13</v>
      </c>
      <c r="H662" s="2">
        <v>44621</v>
      </c>
      <c r="I662" s="1">
        <v>19.64</v>
      </c>
      <c r="J662" s="1">
        <v>43.298999999999999</v>
      </c>
      <c r="L662" s="1" t="s">
        <v>31</v>
      </c>
    </row>
    <row r="663" spans="1:12" x14ac:dyDescent="0.25">
      <c r="A663" s="1" t="s">
        <v>1318</v>
      </c>
      <c r="B663" s="1" t="str">
        <f>("125719")</f>
        <v>125719</v>
      </c>
      <c r="C663" s="1" t="str">
        <f>("622454465602")</f>
        <v>622454465602</v>
      </c>
      <c r="D663" s="1" t="s">
        <v>953</v>
      </c>
      <c r="E663" t="s">
        <v>954</v>
      </c>
      <c r="F663" s="3">
        <v>611.77</v>
      </c>
      <c r="G663" s="1" t="s">
        <v>13</v>
      </c>
      <c r="H663" s="2">
        <v>44621</v>
      </c>
      <c r="I663" s="1">
        <v>31.263000000000002</v>
      </c>
      <c r="J663" s="1">
        <v>68.923000000000002</v>
      </c>
      <c r="K663" s="1">
        <v>2</v>
      </c>
      <c r="L663" s="1" t="s">
        <v>31</v>
      </c>
    </row>
    <row r="664" spans="1:12" x14ac:dyDescent="0.25">
      <c r="A664" s="1" t="s">
        <v>1318</v>
      </c>
      <c r="B664" s="1" t="str">
        <f>("125720")</f>
        <v>125720</v>
      </c>
      <c r="C664" s="1" t="str">
        <f>("622454465619")</f>
        <v>622454465619</v>
      </c>
      <c r="D664" s="1" t="s">
        <v>955</v>
      </c>
      <c r="E664" t="s">
        <v>956</v>
      </c>
      <c r="F664" s="3">
        <v>611.77</v>
      </c>
      <c r="G664" s="1" t="s">
        <v>13</v>
      </c>
      <c r="H664" s="2">
        <v>44621</v>
      </c>
      <c r="I664" s="1">
        <v>7.0289999999999999</v>
      </c>
      <c r="J664" s="1">
        <v>15.496</v>
      </c>
      <c r="K664" s="1">
        <v>1</v>
      </c>
      <c r="L664" s="1" t="s">
        <v>31</v>
      </c>
    </row>
    <row r="665" spans="1:12" x14ac:dyDescent="0.25">
      <c r="A665" s="1" t="s">
        <v>1318</v>
      </c>
      <c r="B665" s="1" t="str">
        <f>("125721")</f>
        <v>125721</v>
      </c>
      <c r="C665" s="1" t="str">
        <f>("622454465633")</f>
        <v>622454465633</v>
      </c>
      <c r="D665" s="1" t="s">
        <v>957</v>
      </c>
      <c r="E665" t="s">
        <v>958</v>
      </c>
      <c r="F665" s="3">
        <v>2411.3200000000002</v>
      </c>
      <c r="G665" s="1" t="s">
        <v>13</v>
      </c>
      <c r="H665" s="2">
        <v>44621</v>
      </c>
      <c r="I665" s="1">
        <v>25.989000000000001</v>
      </c>
      <c r="J665" s="1">
        <v>57.295999999999999</v>
      </c>
      <c r="L665" s="1" t="s">
        <v>31</v>
      </c>
    </row>
    <row r="666" spans="1:12" x14ac:dyDescent="0.25">
      <c r="A666" s="1" t="s">
        <v>1318</v>
      </c>
      <c r="B666" s="1" t="str">
        <f>("125722")</f>
        <v>125722</v>
      </c>
      <c r="C666" s="1" t="str">
        <f>("622454465640")</f>
        <v>622454465640</v>
      </c>
      <c r="D666" s="1" t="s">
        <v>959</v>
      </c>
      <c r="E666" t="s">
        <v>960</v>
      </c>
      <c r="F666" s="3">
        <v>2411.3200000000002</v>
      </c>
      <c r="G666" s="1" t="s">
        <v>13</v>
      </c>
      <c r="H666" s="2">
        <v>44621</v>
      </c>
      <c r="I666" s="1">
        <v>20.233000000000001</v>
      </c>
      <c r="J666" s="1">
        <v>44.606000000000002</v>
      </c>
      <c r="L666" s="1" t="s">
        <v>31</v>
      </c>
    </row>
    <row r="667" spans="1:12" x14ac:dyDescent="0.25">
      <c r="A667" s="1" t="s">
        <v>1318</v>
      </c>
      <c r="B667" s="1" t="str">
        <f>("125723")</f>
        <v>125723</v>
      </c>
      <c r="C667" s="1" t="str">
        <f>("622454465657")</f>
        <v>622454465657</v>
      </c>
      <c r="D667" s="1" t="s">
        <v>961</v>
      </c>
      <c r="E667" t="s">
        <v>962</v>
      </c>
      <c r="F667" s="3">
        <v>1579.5</v>
      </c>
      <c r="G667" s="1" t="s">
        <v>13</v>
      </c>
      <c r="H667" s="2">
        <v>44621</v>
      </c>
      <c r="I667" s="1">
        <v>25.89</v>
      </c>
      <c r="J667" s="1">
        <v>57.078000000000003</v>
      </c>
      <c r="L667" s="1" t="s">
        <v>31</v>
      </c>
    </row>
    <row r="668" spans="1:12" x14ac:dyDescent="0.25">
      <c r="A668" s="1" t="s">
        <v>1318</v>
      </c>
      <c r="B668" s="1" t="str">
        <f>("126086")</f>
        <v>126086</v>
      </c>
      <c r="C668" s="1" t="str">
        <f>("622454805446")</f>
        <v>622454805446</v>
      </c>
      <c r="D668" s="1" t="s">
        <v>963</v>
      </c>
      <c r="E668" t="s">
        <v>964</v>
      </c>
      <c r="F668" s="3">
        <v>1131.6600000000001</v>
      </c>
      <c r="G668" s="1" t="s">
        <v>13</v>
      </c>
      <c r="H668" s="2">
        <v>44621</v>
      </c>
      <c r="I668" s="1">
        <v>16.696999999999999</v>
      </c>
      <c r="J668" s="1">
        <v>36.811</v>
      </c>
      <c r="L668" s="1" t="s">
        <v>31</v>
      </c>
    </row>
    <row r="669" spans="1:12" x14ac:dyDescent="0.25">
      <c r="A669" s="1" t="s">
        <v>1318</v>
      </c>
      <c r="B669" s="1" t="str">
        <f>("125724")</f>
        <v>125724</v>
      </c>
      <c r="C669" s="1" t="str">
        <f>("622454465664")</f>
        <v>622454465664</v>
      </c>
      <c r="D669" s="1" t="s">
        <v>965</v>
      </c>
      <c r="E669" t="s">
        <v>966</v>
      </c>
      <c r="F669" s="3">
        <v>754.91</v>
      </c>
      <c r="G669" s="1" t="s">
        <v>13</v>
      </c>
      <c r="H669" s="2">
        <v>44621</v>
      </c>
      <c r="I669" s="1">
        <v>19.170000000000002</v>
      </c>
      <c r="J669" s="1">
        <v>42.262999999999998</v>
      </c>
      <c r="K669" s="1">
        <v>1</v>
      </c>
      <c r="L669" s="1" t="s">
        <v>31</v>
      </c>
    </row>
    <row r="670" spans="1:12" x14ac:dyDescent="0.25">
      <c r="A670" s="1" t="s">
        <v>1318</v>
      </c>
      <c r="B670" s="1" t="str">
        <f>("125725")</f>
        <v>125725</v>
      </c>
      <c r="C670" s="1" t="str">
        <f>("622454465671")</f>
        <v>622454465671</v>
      </c>
      <c r="D670" s="1" t="s">
        <v>967</v>
      </c>
      <c r="E670" t="s">
        <v>968</v>
      </c>
      <c r="F670" s="3">
        <v>263.49</v>
      </c>
      <c r="G670" s="1" t="s">
        <v>13</v>
      </c>
      <c r="H670" s="2">
        <v>44621</v>
      </c>
      <c r="I670" s="1">
        <v>6.9450000000000003</v>
      </c>
      <c r="J670" s="1">
        <v>15.311</v>
      </c>
      <c r="K670" s="1">
        <v>2</v>
      </c>
      <c r="L670" s="1" t="s">
        <v>31</v>
      </c>
    </row>
    <row r="671" spans="1:12" x14ac:dyDescent="0.25">
      <c r="A671" s="1" t="s">
        <v>1318</v>
      </c>
      <c r="B671" s="1" t="str">
        <f>("126087")</f>
        <v>126087</v>
      </c>
      <c r="C671" s="1" t="str">
        <f>("622454805453")</f>
        <v>622454805453</v>
      </c>
      <c r="D671" s="1" t="s">
        <v>969</v>
      </c>
      <c r="E671" t="s">
        <v>970</v>
      </c>
      <c r="F671" s="3">
        <v>1881.83</v>
      </c>
      <c r="G671" s="1" t="s">
        <v>13</v>
      </c>
      <c r="H671" s="2">
        <v>44621</v>
      </c>
      <c r="I671" s="1">
        <v>21.849</v>
      </c>
      <c r="J671" s="1">
        <v>48.168999999999997</v>
      </c>
      <c r="L671" s="1" t="s">
        <v>31</v>
      </c>
    </row>
    <row r="672" spans="1:12" x14ac:dyDescent="0.25">
      <c r="A672" s="1" t="s">
        <v>1318</v>
      </c>
      <c r="B672" s="1" t="str">
        <f>("125726")</f>
        <v>125726</v>
      </c>
      <c r="C672" s="1" t="str">
        <f>("622454465688")</f>
        <v>622454465688</v>
      </c>
      <c r="D672" s="1" t="s">
        <v>971</v>
      </c>
      <c r="E672" t="s">
        <v>972</v>
      </c>
      <c r="F672" s="3">
        <v>1484.05</v>
      </c>
      <c r="G672" s="1" t="s">
        <v>13</v>
      </c>
      <c r="H672" s="2">
        <v>44621</v>
      </c>
      <c r="I672" s="1">
        <v>38.457999999999998</v>
      </c>
      <c r="J672" s="1">
        <v>84.784999999999997</v>
      </c>
      <c r="L672" s="1" t="s">
        <v>31</v>
      </c>
    </row>
    <row r="673" spans="1:12" x14ac:dyDescent="0.25">
      <c r="A673" s="1" t="s">
        <v>1318</v>
      </c>
      <c r="B673" s="1" t="str">
        <f>("125727")</f>
        <v>125727</v>
      </c>
      <c r="C673" s="1" t="str">
        <f>("622454465695")</f>
        <v>622454465695</v>
      </c>
      <c r="D673" s="1" t="s">
        <v>973</v>
      </c>
      <c r="E673" t="s">
        <v>974</v>
      </c>
      <c r="F673" s="3">
        <v>1066.26</v>
      </c>
      <c r="G673" s="1" t="s">
        <v>13</v>
      </c>
      <c r="H673" s="2">
        <v>44621</v>
      </c>
      <c r="I673" s="1">
        <v>34.606000000000002</v>
      </c>
      <c r="J673" s="1">
        <v>76.293000000000006</v>
      </c>
      <c r="L673" s="1" t="s">
        <v>31</v>
      </c>
    </row>
    <row r="674" spans="1:12" x14ac:dyDescent="0.25">
      <c r="A674" s="1" t="s">
        <v>1318</v>
      </c>
      <c r="B674" s="1" t="str">
        <f>("125728")</f>
        <v>125728</v>
      </c>
      <c r="C674" s="1" t="str">
        <f>("622454465701")</f>
        <v>622454465701</v>
      </c>
      <c r="D674" s="1" t="s">
        <v>975</v>
      </c>
      <c r="E674" t="s">
        <v>976</v>
      </c>
      <c r="F674" s="3">
        <v>615.95000000000005</v>
      </c>
      <c r="G674" s="1" t="s">
        <v>13</v>
      </c>
      <c r="H674" s="2">
        <v>44621</v>
      </c>
      <c r="I674" s="1">
        <v>28.552</v>
      </c>
      <c r="J674" s="1">
        <v>62.945999999999998</v>
      </c>
      <c r="K674" s="1">
        <v>1</v>
      </c>
      <c r="L674" s="1" t="s">
        <v>31</v>
      </c>
    </row>
    <row r="675" spans="1:12" x14ac:dyDescent="0.25">
      <c r="A675" s="1" t="s">
        <v>1318</v>
      </c>
      <c r="B675" s="1" t="str">
        <f>("125729")</f>
        <v>125729</v>
      </c>
      <c r="C675" s="1" t="str">
        <f>("622454465718")</f>
        <v>622454465718</v>
      </c>
      <c r="D675" s="1" t="s">
        <v>977</v>
      </c>
      <c r="E675" t="s">
        <v>978</v>
      </c>
      <c r="F675" s="3">
        <v>644.66999999999996</v>
      </c>
      <c r="G675" s="1" t="s">
        <v>13</v>
      </c>
      <c r="H675" s="2">
        <v>44621</v>
      </c>
      <c r="I675" s="1">
        <v>9.702</v>
      </c>
      <c r="J675" s="1">
        <v>21.388999999999999</v>
      </c>
      <c r="L675" s="1" t="s">
        <v>31</v>
      </c>
    </row>
    <row r="676" spans="1:12" x14ac:dyDescent="0.25">
      <c r="A676" s="1" t="s">
        <v>1318</v>
      </c>
      <c r="B676" s="1" t="str">
        <f>("126088")</f>
        <v>126088</v>
      </c>
      <c r="C676" s="1" t="str">
        <f>("622454805460")</f>
        <v>622454805460</v>
      </c>
      <c r="D676" s="1" t="s">
        <v>979</v>
      </c>
      <c r="E676" t="s">
        <v>980</v>
      </c>
      <c r="F676" s="3">
        <v>3159.64</v>
      </c>
      <c r="G676" s="1" t="s">
        <v>13</v>
      </c>
      <c r="H676" s="2">
        <v>44621</v>
      </c>
      <c r="I676" s="1">
        <v>38.722999999999999</v>
      </c>
      <c r="J676" s="1">
        <v>85.37</v>
      </c>
      <c r="L676" s="1" t="s">
        <v>31</v>
      </c>
    </row>
    <row r="677" spans="1:12" x14ac:dyDescent="0.25">
      <c r="A677" s="1" t="s">
        <v>1318</v>
      </c>
      <c r="B677" s="1" t="str">
        <f>("126089")</f>
        <v>126089</v>
      </c>
      <c r="C677" s="1" t="str">
        <f>("622454805477")</f>
        <v>622454805477</v>
      </c>
      <c r="D677" s="1" t="s">
        <v>981</v>
      </c>
      <c r="E677" t="s">
        <v>982</v>
      </c>
      <c r="F677" s="3">
        <v>2902.53</v>
      </c>
      <c r="G677" s="1" t="s">
        <v>13</v>
      </c>
      <c r="H677" s="2">
        <v>44621</v>
      </c>
      <c r="I677" s="1">
        <v>65.872</v>
      </c>
      <c r="J677" s="1">
        <v>145.22300000000001</v>
      </c>
      <c r="L677" s="1" t="s">
        <v>31</v>
      </c>
    </row>
    <row r="678" spans="1:12" x14ac:dyDescent="0.25">
      <c r="A678" s="1" t="s">
        <v>1318</v>
      </c>
      <c r="B678" s="1" t="str">
        <f>("126090")</f>
        <v>126090</v>
      </c>
      <c r="C678" s="1" t="str">
        <f>("622454805484")</f>
        <v>622454805484</v>
      </c>
      <c r="D678" s="1" t="s">
        <v>983</v>
      </c>
      <c r="E678" t="s">
        <v>984</v>
      </c>
      <c r="F678" s="3">
        <v>2373.9299999999998</v>
      </c>
      <c r="G678" s="1" t="s">
        <v>13</v>
      </c>
      <c r="H678" s="2">
        <v>44621</v>
      </c>
      <c r="I678" s="1">
        <v>31.638999999999999</v>
      </c>
      <c r="J678" s="1">
        <v>69.751999999999995</v>
      </c>
      <c r="L678" s="1" t="s">
        <v>31</v>
      </c>
    </row>
    <row r="679" spans="1:12" x14ac:dyDescent="0.25">
      <c r="A679" s="1" t="s">
        <v>1318</v>
      </c>
      <c r="B679" s="1" t="str">
        <f>("126091")</f>
        <v>126091</v>
      </c>
      <c r="C679" s="1" t="str">
        <f>("622454805491")</f>
        <v>622454805491</v>
      </c>
      <c r="D679" s="1" t="s">
        <v>985</v>
      </c>
      <c r="E679" t="s">
        <v>986</v>
      </c>
      <c r="F679" s="3">
        <v>1528.1</v>
      </c>
      <c r="G679" s="1" t="s">
        <v>13</v>
      </c>
      <c r="H679" s="2">
        <v>44621</v>
      </c>
      <c r="I679" s="1">
        <v>31.434999999999999</v>
      </c>
      <c r="J679" s="1">
        <v>69.302000000000007</v>
      </c>
      <c r="L679" s="1" t="s">
        <v>31</v>
      </c>
    </row>
    <row r="680" spans="1:12" x14ac:dyDescent="0.25">
      <c r="A680" s="1" t="s">
        <v>1318</v>
      </c>
      <c r="B680" s="1" t="str">
        <f>("125730")</f>
        <v>125730</v>
      </c>
      <c r="C680" s="1" t="str">
        <f>("622454465725")</f>
        <v>622454465725</v>
      </c>
      <c r="D680" s="1" t="s">
        <v>987</v>
      </c>
      <c r="E680" t="s">
        <v>988</v>
      </c>
      <c r="F680" s="3">
        <v>1488.93</v>
      </c>
      <c r="G680" s="1" t="s">
        <v>13</v>
      </c>
      <c r="H680" s="2">
        <v>44621</v>
      </c>
      <c r="I680" s="1">
        <v>70.790999999999997</v>
      </c>
      <c r="J680" s="1">
        <v>156.06700000000001</v>
      </c>
      <c r="L680" s="1" t="s">
        <v>31</v>
      </c>
    </row>
    <row r="681" spans="1:12" x14ac:dyDescent="0.25">
      <c r="A681" s="1" t="s">
        <v>1318</v>
      </c>
      <c r="B681" s="1" t="str">
        <f>("125731")</f>
        <v>125731</v>
      </c>
      <c r="C681" s="1" t="str">
        <f>("622454465732")</f>
        <v>622454465732</v>
      </c>
      <c r="D681" s="1" t="s">
        <v>989</v>
      </c>
      <c r="E681" t="s">
        <v>990</v>
      </c>
      <c r="F681" s="3">
        <v>738.94</v>
      </c>
      <c r="G681" s="1" t="s">
        <v>13</v>
      </c>
      <c r="H681" s="2">
        <v>44621</v>
      </c>
      <c r="I681" s="1">
        <v>14.089</v>
      </c>
      <c r="J681" s="1">
        <v>31.061</v>
      </c>
      <c r="L681" s="1" t="s">
        <v>31</v>
      </c>
    </row>
    <row r="682" spans="1:12" x14ac:dyDescent="0.25">
      <c r="A682" s="1" t="s">
        <v>1318</v>
      </c>
      <c r="B682" s="1" t="str">
        <f>("126092")</f>
        <v>126092</v>
      </c>
      <c r="C682" s="1" t="str">
        <f>("622454805507")</f>
        <v>622454805507</v>
      </c>
      <c r="D682" s="1" t="s">
        <v>991</v>
      </c>
      <c r="E682" t="s">
        <v>992</v>
      </c>
      <c r="F682" s="3">
        <v>4374.2</v>
      </c>
      <c r="G682" s="1" t="s">
        <v>13</v>
      </c>
      <c r="H682" s="2">
        <v>44621</v>
      </c>
      <c r="I682" s="1">
        <v>56.115000000000002</v>
      </c>
      <c r="J682" s="1">
        <v>123.712</v>
      </c>
      <c r="L682" s="1" t="s">
        <v>31</v>
      </c>
    </row>
    <row r="683" spans="1:12" x14ac:dyDescent="0.25">
      <c r="A683" s="1" t="s">
        <v>1318</v>
      </c>
      <c r="B683" s="1" t="str">
        <f>("126093")</f>
        <v>126093</v>
      </c>
      <c r="C683" s="1" t="str">
        <f>("622454805514")</f>
        <v>622454805514</v>
      </c>
      <c r="D683" s="1" t="s">
        <v>993</v>
      </c>
      <c r="E683" t="s">
        <v>994</v>
      </c>
      <c r="F683" s="3">
        <v>4111.13</v>
      </c>
      <c r="G683" s="1" t="s">
        <v>13</v>
      </c>
      <c r="H683" s="2">
        <v>44621</v>
      </c>
      <c r="I683" s="1">
        <v>68.436000000000007</v>
      </c>
      <c r="J683" s="1">
        <v>150.875</v>
      </c>
      <c r="L683" s="1" t="s">
        <v>31</v>
      </c>
    </row>
    <row r="684" spans="1:12" x14ac:dyDescent="0.25">
      <c r="A684" s="1" t="s">
        <v>1318</v>
      </c>
      <c r="B684" s="1" t="str">
        <f>("126094")</f>
        <v>126094</v>
      </c>
      <c r="C684" s="1" t="str">
        <f>("622454805521")</f>
        <v>622454805521</v>
      </c>
      <c r="D684" s="1" t="s">
        <v>995</v>
      </c>
      <c r="E684" t="s">
        <v>996</v>
      </c>
      <c r="F684" s="3">
        <v>3810.05</v>
      </c>
      <c r="G684" s="1" t="s">
        <v>13</v>
      </c>
      <c r="H684" s="2">
        <v>44621</v>
      </c>
      <c r="I684" s="1">
        <v>79.67</v>
      </c>
      <c r="J684" s="1">
        <v>175.642</v>
      </c>
      <c r="L684" s="1" t="s">
        <v>31</v>
      </c>
    </row>
    <row r="685" spans="1:12" x14ac:dyDescent="0.25">
      <c r="A685" s="1" t="s">
        <v>1318</v>
      </c>
      <c r="B685" s="1" t="str">
        <f>("126095")</f>
        <v>126095</v>
      </c>
      <c r="C685" s="1" t="str">
        <f>("622454805538")</f>
        <v>622454805538</v>
      </c>
      <c r="D685" s="1" t="s">
        <v>997</v>
      </c>
      <c r="E685" t="s">
        <v>998</v>
      </c>
      <c r="F685" s="3">
        <v>3327.74</v>
      </c>
      <c r="G685" s="1" t="s">
        <v>13</v>
      </c>
      <c r="H685" s="2">
        <v>44621</v>
      </c>
      <c r="I685" s="1">
        <v>82.846000000000004</v>
      </c>
      <c r="J685" s="1">
        <v>182.64400000000001</v>
      </c>
      <c r="L685" s="1" t="s">
        <v>31</v>
      </c>
    </row>
    <row r="686" spans="1:12" x14ac:dyDescent="0.25">
      <c r="A686" s="1" t="s">
        <v>1318</v>
      </c>
      <c r="B686" s="1" t="str">
        <f>("126096")</f>
        <v>126096</v>
      </c>
      <c r="C686" s="1" t="str">
        <f>("622454805545")</f>
        <v>622454805545</v>
      </c>
      <c r="D686" s="1" t="s">
        <v>999</v>
      </c>
      <c r="E686" t="s">
        <v>1000</v>
      </c>
      <c r="F686" s="3">
        <v>2727.22</v>
      </c>
      <c r="G686" s="1" t="s">
        <v>13</v>
      </c>
      <c r="H686" s="2">
        <v>44621</v>
      </c>
      <c r="I686" s="1">
        <v>45.445</v>
      </c>
      <c r="J686" s="1">
        <v>100.18899999999999</v>
      </c>
      <c r="L686" s="1" t="s">
        <v>31</v>
      </c>
    </row>
    <row r="687" spans="1:12" x14ac:dyDescent="0.25">
      <c r="A687" s="1" t="s">
        <v>1318</v>
      </c>
      <c r="B687" s="1" t="str">
        <f>("125732")</f>
        <v>125732</v>
      </c>
      <c r="C687" s="1" t="str">
        <f>("622454465749")</f>
        <v>622454465749</v>
      </c>
      <c r="D687" s="1" t="s">
        <v>1001</v>
      </c>
      <c r="E687" t="s">
        <v>1002</v>
      </c>
      <c r="F687" s="3">
        <v>2179.81</v>
      </c>
      <c r="G687" s="1" t="s">
        <v>13</v>
      </c>
      <c r="H687" s="2">
        <v>44621</v>
      </c>
      <c r="I687" s="1">
        <v>96.551000000000002</v>
      </c>
      <c r="J687" s="1">
        <v>212.858</v>
      </c>
      <c r="L687" s="1" t="s">
        <v>31</v>
      </c>
    </row>
    <row r="688" spans="1:12" x14ac:dyDescent="0.25">
      <c r="A688" s="1" t="s">
        <v>1318</v>
      </c>
      <c r="B688" s="1" t="str">
        <f>("125733")</f>
        <v>125733</v>
      </c>
      <c r="C688" s="1" t="str">
        <f>("622454465756")</f>
        <v>622454465756</v>
      </c>
      <c r="D688" s="1" t="s">
        <v>1003</v>
      </c>
      <c r="E688" t="s">
        <v>1004</v>
      </c>
      <c r="F688" s="3">
        <v>1086.97</v>
      </c>
      <c r="G688" s="1" t="s">
        <v>13</v>
      </c>
      <c r="H688" s="2">
        <v>44621</v>
      </c>
      <c r="I688" s="1">
        <v>19.673999999999999</v>
      </c>
      <c r="J688" s="1">
        <v>43.374000000000002</v>
      </c>
      <c r="L688" s="1" t="s">
        <v>31</v>
      </c>
    </row>
    <row r="689" spans="1:12" x14ac:dyDescent="0.25">
      <c r="A689" s="1" t="s">
        <v>1318</v>
      </c>
      <c r="B689" s="1" t="str">
        <f>("126097")</f>
        <v>126097</v>
      </c>
      <c r="C689" s="1" t="str">
        <f>("622454805552")</f>
        <v>622454805552</v>
      </c>
      <c r="D689" s="1" t="s">
        <v>1005</v>
      </c>
      <c r="E689" t="s">
        <v>1006</v>
      </c>
      <c r="F689" s="3">
        <v>6966.17</v>
      </c>
      <c r="G689" s="1" t="s">
        <v>13</v>
      </c>
      <c r="H689" s="2">
        <v>44621</v>
      </c>
      <c r="I689" s="1">
        <v>73.668999999999997</v>
      </c>
      <c r="J689" s="1">
        <v>162.41200000000001</v>
      </c>
      <c r="L689" s="1" t="s">
        <v>31</v>
      </c>
    </row>
    <row r="690" spans="1:12" x14ac:dyDescent="0.25">
      <c r="A690" s="1" t="s">
        <v>1318</v>
      </c>
      <c r="B690" s="1" t="str">
        <f>("126098")</f>
        <v>126098</v>
      </c>
      <c r="C690" s="1" t="str">
        <f>("622454805569")</f>
        <v>622454805569</v>
      </c>
      <c r="D690" s="1" t="s">
        <v>1007</v>
      </c>
      <c r="E690" t="s">
        <v>1008</v>
      </c>
      <c r="F690" s="3">
        <v>6676.94</v>
      </c>
      <c r="G690" s="1" t="s">
        <v>13</v>
      </c>
      <c r="H690" s="2">
        <v>44621</v>
      </c>
      <c r="I690" s="1">
        <v>88.802999999999997</v>
      </c>
      <c r="J690" s="1">
        <v>195.77699999999999</v>
      </c>
      <c r="L690" s="1" t="s">
        <v>31</v>
      </c>
    </row>
    <row r="691" spans="1:12" x14ac:dyDescent="0.25">
      <c r="A691" s="1" t="s">
        <v>1318</v>
      </c>
      <c r="B691" s="1" t="str">
        <f>("126099")</f>
        <v>126099</v>
      </c>
      <c r="C691" s="1" t="str">
        <f>("622454805576")</f>
        <v>622454805576</v>
      </c>
      <c r="D691" s="1" t="s">
        <v>1009</v>
      </c>
      <c r="E691" t="s">
        <v>1010</v>
      </c>
      <c r="F691" s="3">
        <v>5878.02</v>
      </c>
      <c r="G691" s="1" t="s">
        <v>13</v>
      </c>
      <c r="H691" s="2">
        <v>44621</v>
      </c>
      <c r="I691" s="1">
        <v>102.849</v>
      </c>
      <c r="J691" s="1">
        <v>226.74299999999999</v>
      </c>
      <c r="L691" s="1" t="s">
        <v>31</v>
      </c>
    </row>
    <row r="692" spans="1:12" x14ac:dyDescent="0.25">
      <c r="A692" s="1" t="s">
        <v>1318</v>
      </c>
      <c r="B692" s="1" t="str">
        <f>("126100")</f>
        <v>126100</v>
      </c>
      <c r="C692" s="1" t="str">
        <f>("622454805583")</f>
        <v>622454805583</v>
      </c>
      <c r="D692" s="1" t="s">
        <v>1011</v>
      </c>
      <c r="E692" t="s">
        <v>1012</v>
      </c>
      <c r="F692" s="3">
        <v>5372.28</v>
      </c>
      <c r="G692" s="1" t="s">
        <v>13</v>
      </c>
      <c r="H692" s="2">
        <v>44621</v>
      </c>
      <c r="I692" s="1">
        <v>101.239</v>
      </c>
      <c r="J692" s="1">
        <v>223.19399999999999</v>
      </c>
      <c r="L692" s="1" t="s">
        <v>31</v>
      </c>
    </row>
    <row r="693" spans="1:12" x14ac:dyDescent="0.25">
      <c r="A693" s="1" t="s">
        <v>1318</v>
      </c>
      <c r="B693" s="1" t="str">
        <f>("126101")</f>
        <v>126101</v>
      </c>
      <c r="C693" s="1" t="str">
        <f>("622454805590")</f>
        <v>622454805590</v>
      </c>
      <c r="D693" s="1" t="s">
        <v>1013</v>
      </c>
      <c r="E693" t="s">
        <v>1014</v>
      </c>
      <c r="F693" s="3">
        <v>4955.13</v>
      </c>
      <c r="G693" s="1" t="s">
        <v>13</v>
      </c>
      <c r="H693" s="2">
        <v>44621</v>
      </c>
      <c r="I693" s="1">
        <v>130.43100000000001</v>
      </c>
      <c r="J693" s="1">
        <v>287.55099999999999</v>
      </c>
      <c r="L693" s="1" t="s">
        <v>31</v>
      </c>
    </row>
    <row r="694" spans="1:12" x14ac:dyDescent="0.25">
      <c r="A694" s="1" t="s">
        <v>1318</v>
      </c>
      <c r="B694" s="1" t="str">
        <f>("126102")</f>
        <v>126102</v>
      </c>
      <c r="C694" s="1" t="str">
        <f>("622454805606")</f>
        <v>622454805606</v>
      </c>
      <c r="D694" s="1" t="s">
        <v>1015</v>
      </c>
      <c r="E694" t="s">
        <v>1016</v>
      </c>
      <c r="F694" s="3">
        <v>4148.28</v>
      </c>
      <c r="G694" s="1" t="s">
        <v>13</v>
      </c>
      <c r="H694" s="2">
        <v>44621</v>
      </c>
      <c r="I694" s="1">
        <v>145.928</v>
      </c>
      <c r="J694" s="1">
        <v>321.71600000000001</v>
      </c>
      <c r="L694" s="1" t="s">
        <v>31</v>
      </c>
    </row>
    <row r="695" spans="1:12" x14ac:dyDescent="0.25">
      <c r="A695" s="1" t="s">
        <v>1318</v>
      </c>
      <c r="B695" s="1" t="str">
        <f>("125734")</f>
        <v>125734</v>
      </c>
      <c r="C695" s="1" t="str">
        <f>("622454465763")</f>
        <v>622454465763</v>
      </c>
      <c r="D695" s="1" t="s">
        <v>1017</v>
      </c>
      <c r="E695" t="s">
        <v>1018</v>
      </c>
      <c r="F695" s="3">
        <v>4125.5200000000004</v>
      </c>
      <c r="G695" s="1" t="s">
        <v>13</v>
      </c>
      <c r="H695" s="2">
        <v>44621</v>
      </c>
      <c r="I695" s="1">
        <v>166.59200000000001</v>
      </c>
      <c r="J695" s="1">
        <v>367.27199999999999</v>
      </c>
      <c r="L695" s="1" t="s">
        <v>31</v>
      </c>
    </row>
    <row r="696" spans="1:12" x14ac:dyDescent="0.25">
      <c r="A696" s="1" t="s">
        <v>1318</v>
      </c>
      <c r="B696" s="1" t="str">
        <f>("125735")</f>
        <v>125735</v>
      </c>
      <c r="C696" s="1" t="str">
        <f>("622454465770")</f>
        <v>622454465770</v>
      </c>
      <c r="D696" s="1" t="s">
        <v>1019</v>
      </c>
      <c r="E696" t="s">
        <v>1020</v>
      </c>
      <c r="F696" s="3">
        <v>3358.56</v>
      </c>
      <c r="G696" s="1" t="s">
        <v>13</v>
      </c>
      <c r="H696" s="2">
        <v>44621</v>
      </c>
      <c r="I696" s="1">
        <v>180.04599999999999</v>
      </c>
      <c r="J696" s="1">
        <v>396.93299999999999</v>
      </c>
      <c r="L696" s="1" t="s">
        <v>31</v>
      </c>
    </row>
    <row r="697" spans="1:12" x14ac:dyDescent="0.25">
      <c r="A697" s="1" t="s">
        <v>1318</v>
      </c>
      <c r="B697" s="1" t="str">
        <f>("035717")</f>
        <v>035717</v>
      </c>
      <c r="C697" s="1" t="str">
        <f>("622454357174")</f>
        <v>622454357174</v>
      </c>
      <c r="D697" s="1">
        <v>438071</v>
      </c>
      <c r="E697" t="s">
        <v>1021</v>
      </c>
      <c r="F697" s="3">
        <v>3.3297872340425534</v>
      </c>
      <c r="G697" s="1" t="s">
        <v>13</v>
      </c>
      <c r="H697" s="2">
        <v>44621</v>
      </c>
      <c r="I697" s="1">
        <v>8.9999999999999993E-3</v>
      </c>
      <c r="J697" s="1">
        <v>0.02</v>
      </c>
      <c r="L697" s="1" t="s">
        <v>14</v>
      </c>
    </row>
    <row r="698" spans="1:12" x14ac:dyDescent="0.25">
      <c r="A698" s="1" t="s">
        <v>1318</v>
      </c>
      <c r="B698" s="1" t="str">
        <f>("035718")</f>
        <v>035718</v>
      </c>
      <c r="C698" s="1" t="str">
        <f>("622454357181")</f>
        <v>622454357181</v>
      </c>
      <c r="D698" s="1">
        <v>438072</v>
      </c>
      <c r="E698" t="s">
        <v>1022</v>
      </c>
      <c r="F698" s="3">
        <v>3.3297872340425534</v>
      </c>
      <c r="G698" s="1" t="s">
        <v>13</v>
      </c>
      <c r="H698" s="2">
        <v>44621</v>
      </c>
      <c r="I698" s="1">
        <v>8.9999999999999993E-3</v>
      </c>
      <c r="J698" s="1">
        <v>0.02</v>
      </c>
      <c r="L698" s="1" t="s">
        <v>14</v>
      </c>
    </row>
    <row r="699" spans="1:12" x14ac:dyDescent="0.25">
      <c r="A699" s="1" t="s">
        <v>1318</v>
      </c>
      <c r="B699" s="1" t="str">
        <f>("035719")</f>
        <v>035719</v>
      </c>
      <c r="C699" s="1" t="str">
        <f>("622454357198")</f>
        <v>622454357198</v>
      </c>
      <c r="D699" s="1">
        <v>438073</v>
      </c>
      <c r="E699" t="s">
        <v>1023</v>
      </c>
      <c r="F699" s="3">
        <v>3.3297872340425534</v>
      </c>
      <c r="G699" s="1" t="s">
        <v>13</v>
      </c>
      <c r="H699" s="2">
        <v>44621</v>
      </c>
      <c r="I699" s="1">
        <v>8.9999999999999993E-3</v>
      </c>
      <c r="J699" s="1">
        <v>0.02</v>
      </c>
      <c r="L699" s="1" t="s">
        <v>14</v>
      </c>
    </row>
    <row r="700" spans="1:12" x14ac:dyDescent="0.25">
      <c r="A700" s="1" t="s">
        <v>1318</v>
      </c>
      <c r="B700" s="1" t="str">
        <f>("035720")</f>
        <v>035720</v>
      </c>
      <c r="C700" s="1" t="str">
        <f>("622454357204")</f>
        <v>622454357204</v>
      </c>
      <c r="D700" s="1">
        <v>438098</v>
      </c>
      <c r="E700" t="s">
        <v>1024</v>
      </c>
      <c r="F700" s="3">
        <v>3.3297872340425534</v>
      </c>
      <c r="G700" s="1" t="s">
        <v>13</v>
      </c>
      <c r="H700" s="2">
        <v>44621</v>
      </c>
      <c r="I700" s="1">
        <v>1.7999999999999999E-2</v>
      </c>
      <c r="J700" s="1">
        <v>0.04</v>
      </c>
      <c r="K700" s="1">
        <v>50</v>
      </c>
      <c r="L700" s="1" t="s">
        <v>14</v>
      </c>
    </row>
    <row r="701" spans="1:12" x14ac:dyDescent="0.25">
      <c r="A701" s="1" t="s">
        <v>1318</v>
      </c>
      <c r="B701" s="1" t="str">
        <f>("035722")</f>
        <v>035722</v>
      </c>
      <c r="C701" s="1" t="str">
        <f>("622454357228")</f>
        <v>622454357228</v>
      </c>
      <c r="D701" s="1">
        <v>438101</v>
      </c>
      <c r="E701" t="s">
        <v>1025</v>
      </c>
      <c r="F701" s="3">
        <v>2.521276595744681</v>
      </c>
      <c r="G701" s="1" t="s">
        <v>13</v>
      </c>
      <c r="H701" s="2">
        <v>44621</v>
      </c>
      <c r="I701" s="1">
        <v>1.4999999999999999E-2</v>
      </c>
      <c r="J701" s="1">
        <v>3.3000000000000002E-2</v>
      </c>
      <c r="K701" s="1">
        <v>50</v>
      </c>
      <c r="L701" s="1" t="s">
        <v>14</v>
      </c>
    </row>
    <row r="702" spans="1:12" x14ac:dyDescent="0.25">
      <c r="A702" s="1" t="s">
        <v>1318</v>
      </c>
      <c r="B702" s="1" t="str">
        <f>("035723")</f>
        <v>035723</v>
      </c>
      <c r="C702" s="1" t="str">
        <f>("622454357235")</f>
        <v>622454357235</v>
      </c>
      <c r="D702" s="1">
        <v>438129</v>
      </c>
      <c r="E702" t="s">
        <v>1026</v>
      </c>
      <c r="F702" s="3">
        <v>4.0744680851063837</v>
      </c>
      <c r="G702" s="1" t="s">
        <v>13</v>
      </c>
      <c r="H702" s="2">
        <v>44621</v>
      </c>
      <c r="I702" s="1">
        <v>2.7E-2</v>
      </c>
      <c r="J702" s="1">
        <v>0.06</v>
      </c>
      <c r="K702" s="1">
        <v>50</v>
      </c>
      <c r="L702" s="1" t="s">
        <v>14</v>
      </c>
    </row>
    <row r="703" spans="1:12" x14ac:dyDescent="0.25">
      <c r="A703" s="1" t="s">
        <v>1318</v>
      </c>
      <c r="B703" s="1" t="str">
        <f>("035724")</f>
        <v>035724</v>
      </c>
      <c r="C703" s="1" t="str">
        <f>("622454357242")</f>
        <v>622454357242</v>
      </c>
      <c r="D703" s="1">
        <v>438130</v>
      </c>
      <c r="E703" t="s">
        <v>1027</v>
      </c>
      <c r="F703" s="3">
        <v>4.0744680851063837</v>
      </c>
      <c r="G703" s="1" t="s">
        <v>13</v>
      </c>
      <c r="H703" s="2">
        <v>44621</v>
      </c>
      <c r="I703" s="1">
        <v>0.11899999999999999</v>
      </c>
      <c r="J703" s="1">
        <v>0.26200000000000001</v>
      </c>
      <c r="K703" s="1">
        <v>50</v>
      </c>
      <c r="L703" s="1" t="s">
        <v>14</v>
      </c>
    </row>
    <row r="704" spans="1:12" x14ac:dyDescent="0.25">
      <c r="A704" s="1" t="s">
        <v>1318</v>
      </c>
      <c r="B704" s="1" t="str">
        <f>("035725")</f>
        <v>035725</v>
      </c>
      <c r="C704" s="1" t="str">
        <f>("622454357259")</f>
        <v>622454357259</v>
      </c>
      <c r="D704" s="1">
        <v>438131</v>
      </c>
      <c r="E704" t="s">
        <v>1028</v>
      </c>
      <c r="F704" s="3">
        <v>4.0744680851063837</v>
      </c>
      <c r="G704" s="1" t="s">
        <v>13</v>
      </c>
      <c r="H704" s="2">
        <v>44621</v>
      </c>
      <c r="I704" s="1">
        <v>0.08</v>
      </c>
      <c r="J704" s="1">
        <v>0.17599999999999999</v>
      </c>
      <c r="K704" s="1">
        <v>50</v>
      </c>
      <c r="L704" s="1" t="s">
        <v>14</v>
      </c>
    </row>
    <row r="705" spans="1:12" x14ac:dyDescent="0.25">
      <c r="A705" s="1" t="s">
        <v>1318</v>
      </c>
      <c r="B705" s="1" t="str">
        <f>("035726")</f>
        <v>035726</v>
      </c>
      <c r="C705" s="1" t="str">
        <f>("622454357266")</f>
        <v>622454357266</v>
      </c>
      <c r="D705" s="1">
        <v>438166</v>
      </c>
      <c r="E705" t="s">
        <v>1029</v>
      </c>
      <c r="F705" s="3">
        <v>6.2340425531914905</v>
      </c>
      <c r="G705" s="1" t="s">
        <v>13</v>
      </c>
      <c r="H705" s="2">
        <v>44621</v>
      </c>
      <c r="I705" s="1">
        <v>3.2000000000000001E-2</v>
      </c>
      <c r="J705" s="1">
        <v>7.0999999999999994E-2</v>
      </c>
      <c r="K705" s="1">
        <v>25</v>
      </c>
      <c r="L705" s="1" t="s">
        <v>14</v>
      </c>
    </row>
    <row r="706" spans="1:12" x14ac:dyDescent="0.25">
      <c r="A706" s="1" t="s">
        <v>1318</v>
      </c>
      <c r="B706" s="1" t="str">
        <f>("035727")</f>
        <v>035727</v>
      </c>
      <c r="C706" s="1" t="str">
        <f>("622454357273")</f>
        <v>622454357273</v>
      </c>
      <c r="D706" s="1">
        <v>438167</v>
      </c>
      <c r="E706" t="s">
        <v>1030</v>
      </c>
      <c r="F706" s="3">
        <v>6.2659574468085104</v>
      </c>
      <c r="G706" s="1" t="s">
        <v>13</v>
      </c>
      <c r="H706" s="2">
        <v>44621</v>
      </c>
      <c r="I706" s="1">
        <v>3.7999999999999999E-2</v>
      </c>
      <c r="J706" s="1">
        <v>8.4000000000000005E-2</v>
      </c>
      <c r="K706" s="1">
        <v>25</v>
      </c>
      <c r="L706" s="1" t="s">
        <v>14</v>
      </c>
    </row>
    <row r="707" spans="1:12" x14ac:dyDescent="0.25">
      <c r="A707" s="1" t="s">
        <v>1318</v>
      </c>
      <c r="B707" s="1" t="str">
        <f>("035728")</f>
        <v>035728</v>
      </c>
      <c r="C707" s="1" t="str">
        <f>("622454357280")</f>
        <v>622454357280</v>
      </c>
      <c r="D707" s="1">
        <v>438168</v>
      </c>
      <c r="E707" t="s">
        <v>1031</v>
      </c>
      <c r="F707" s="3">
        <v>6.2659574468085104</v>
      </c>
      <c r="G707" s="1" t="s">
        <v>13</v>
      </c>
      <c r="H707" s="2">
        <v>44621</v>
      </c>
      <c r="I707" s="1">
        <v>0.05</v>
      </c>
      <c r="J707" s="1">
        <v>0.11</v>
      </c>
      <c r="K707" s="1">
        <v>25</v>
      </c>
      <c r="L707" s="1" t="s">
        <v>14</v>
      </c>
    </row>
    <row r="708" spans="1:12" x14ac:dyDescent="0.25">
      <c r="A708" s="1" t="s">
        <v>1318</v>
      </c>
      <c r="B708" s="1" t="str">
        <f>("035729")</f>
        <v>035729</v>
      </c>
      <c r="C708" s="1" t="str">
        <f>("622454357297")</f>
        <v>622454357297</v>
      </c>
      <c r="D708" s="1">
        <v>438209</v>
      </c>
      <c r="E708" t="s">
        <v>1032</v>
      </c>
      <c r="F708" s="3">
        <v>7.1914893617021276</v>
      </c>
      <c r="G708" s="1" t="s">
        <v>13</v>
      </c>
      <c r="H708" s="2">
        <v>44621</v>
      </c>
      <c r="I708" s="1">
        <v>6.8000000000000005E-2</v>
      </c>
      <c r="J708" s="1">
        <v>0.15</v>
      </c>
      <c r="K708" s="1">
        <v>20</v>
      </c>
      <c r="L708" s="1" t="s">
        <v>14</v>
      </c>
    </row>
    <row r="709" spans="1:12" x14ac:dyDescent="0.25">
      <c r="A709" s="1" t="s">
        <v>1318</v>
      </c>
      <c r="B709" s="1" t="str">
        <f>("035730")</f>
        <v>035730</v>
      </c>
      <c r="C709" s="1" t="str">
        <f>("622454357303")</f>
        <v>622454357303</v>
      </c>
      <c r="D709" s="1">
        <v>438210</v>
      </c>
      <c r="E709" t="s">
        <v>1033</v>
      </c>
      <c r="F709" s="3">
        <v>7.1914893617021276</v>
      </c>
      <c r="G709" s="1" t="s">
        <v>13</v>
      </c>
      <c r="H709" s="2">
        <v>44621</v>
      </c>
      <c r="I709" s="1">
        <v>5.1999999999999998E-2</v>
      </c>
      <c r="J709" s="1">
        <v>0.115</v>
      </c>
      <c r="K709" s="1">
        <v>20</v>
      </c>
      <c r="L709" s="1" t="s">
        <v>14</v>
      </c>
    </row>
    <row r="710" spans="1:12" x14ac:dyDescent="0.25">
      <c r="A710" s="1" t="s">
        <v>1318</v>
      </c>
      <c r="B710" s="1" t="str">
        <f>("035731")</f>
        <v>035731</v>
      </c>
      <c r="C710" s="1" t="str">
        <f>("622454357310")</f>
        <v>622454357310</v>
      </c>
      <c r="D710" s="1">
        <v>438211</v>
      </c>
      <c r="E710" t="s">
        <v>1034</v>
      </c>
      <c r="F710" s="3">
        <v>7.1914893617021276</v>
      </c>
      <c r="G710" s="1" t="s">
        <v>13</v>
      </c>
      <c r="H710" s="2">
        <v>44621</v>
      </c>
      <c r="I710" s="1">
        <v>5.1999999999999998E-2</v>
      </c>
      <c r="J710" s="1">
        <v>0.115</v>
      </c>
      <c r="K710" s="1">
        <v>20</v>
      </c>
      <c r="L710" s="1" t="s">
        <v>14</v>
      </c>
    </row>
    <row r="711" spans="1:12" x14ac:dyDescent="0.25">
      <c r="A711" s="1" t="s">
        <v>1318</v>
      </c>
      <c r="B711" s="1" t="str">
        <f>("035732")</f>
        <v>035732</v>
      </c>
      <c r="C711" s="1" t="str">
        <f>("622454357327")</f>
        <v>622454357327</v>
      </c>
      <c r="D711" s="1">
        <v>438212</v>
      </c>
      <c r="E711" t="s">
        <v>1035</v>
      </c>
      <c r="F711" s="3">
        <v>7.1914893617021276</v>
      </c>
      <c r="G711" s="1" t="s">
        <v>13</v>
      </c>
      <c r="H711" s="2">
        <v>44621</v>
      </c>
      <c r="I711" s="1">
        <v>4.4999999999999998E-2</v>
      </c>
      <c r="J711" s="1">
        <v>9.9000000000000005E-2</v>
      </c>
      <c r="K711" s="1">
        <v>25</v>
      </c>
      <c r="L711" s="1" t="s">
        <v>14</v>
      </c>
    </row>
    <row r="712" spans="1:12" x14ac:dyDescent="0.25">
      <c r="A712" s="1" t="s">
        <v>1318</v>
      </c>
      <c r="B712" s="1" t="str">
        <f>("035733")</f>
        <v>035733</v>
      </c>
      <c r="C712" s="1" t="str">
        <f>("622454357334")</f>
        <v>622454357334</v>
      </c>
      <c r="D712" s="1">
        <v>438247</v>
      </c>
      <c r="E712" t="s">
        <v>1036</v>
      </c>
      <c r="F712" s="3">
        <v>9.6595744680851077</v>
      </c>
      <c r="G712" s="1" t="s">
        <v>13</v>
      </c>
      <c r="H712" s="2">
        <v>44621</v>
      </c>
      <c r="I712" s="1">
        <v>7.4999999999999997E-2</v>
      </c>
      <c r="J712" s="1">
        <v>0.16500000000000001</v>
      </c>
      <c r="K712" s="1">
        <v>15</v>
      </c>
      <c r="L712" s="1" t="s">
        <v>14</v>
      </c>
    </row>
    <row r="713" spans="1:12" x14ac:dyDescent="0.25">
      <c r="A713" s="1" t="s">
        <v>1318</v>
      </c>
      <c r="B713" s="1" t="str">
        <f>("035734")</f>
        <v>035734</v>
      </c>
      <c r="C713" s="1" t="str">
        <f>("622454357341")</f>
        <v>622454357341</v>
      </c>
      <c r="D713" s="1">
        <v>438248</v>
      </c>
      <c r="E713" t="s">
        <v>1037</v>
      </c>
      <c r="F713" s="3">
        <v>9.6595744680851077</v>
      </c>
      <c r="G713" s="1" t="s">
        <v>13</v>
      </c>
      <c r="H713" s="2">
        <v>44621</v>
      </c>
      <c r="I713" s="1">
        <v>7.3999999999999996E-2</v>
      </c>
      <c r="J713" s="1">
        <v>0.16300000000000001</v>
      </c>
      <c r="K713" s="1">
        <v>15</v>
      </c>
      <c r="L713" s="1" t="s">
        <v>14</v>
      </c>
    </row>
    <row r="714" spans="1:12" x14ac:dyDescent="0.25">
      <c r="A714" s="1" t="s">
        <v>1318</v>
      </c>
      <c r="B714" s="1" t="str">
        <f>("035735")</f>
        <v>035735</v>
      </c>
      <c r="C714" s="1" t="str">
        <f>("622454357358")</f>
        <v>622454357358</v>
      </c>
      <c r="D714" s="1">
        <v>438249</v>
      </c>
      <c r="E714" t="s">
        <v>1038</v>
      </c>
      <c r="F714" s="3">
        <v>9.6595744680851077</v>
      </c>
      <c r="G714" s="1" t="s">
        <v>13</v>
      </c>
      <c r="H714" s="2">
        <v>44621</v>
      </c>
      <c r="I714" s="1">
        <v>7.8E-2</v>
      </c>
      <c r="J714" s="1">
        <v>0.17199999999999999</v>
      </c>
      <c r="K714" s="1">
        <v>15</v>
      </c>
      <c r="L714" s="1" t="s">
        <v>14</v>
      </c>
    </row>
    <row r="715" spans="1:12" x14ac:dyDescent="0.25">
      <c r="A715" s="1" t="s">
        <v>1318</v>
      </c>
      <c r="B715" s="1" t="str">
        <f>("035736")</f>
        <v>035736</v>
      </c>
      <c r="C715" s="1" t="str">
        <f>("622454357365")</f>
        <v>622454357365</v>
      </c>
      <c r="D715" s="1">
        <v>438250</v>
      </c>
      <c r="E715" t="s">
        <v>1039</v>
      </c>
      <c r="F715" s="3">
        <v>9.6595744680851077</v>
      </c>
      <c r="G715" s="1" t="s">
        <v>13</v>
      </c>
      <c r="H715" s="2">
        <v>44621</v>
      </c>
      <c r="I715" s="1">
        <v>0.10199999999999999</v>
      </c>
      <c r="J715" s="1">
        <v>0.22500000000000001</v>
      </c>
      <c r="K715" s="1">
        <v>15</v>
      </c>
      <c r="L715" s="1" t="s">
        <v>14</v>
      </c>
    </row>
    <row r="716" spans="1:12" x14ac:dyDescent="0.25">
      <c r="A716" s="1" t="s">
        <v>1318</v>
      </c>
      <c r="B716" s="1" t="str">
        <f>("035737")</f>
        <v>035737</v>
      </c>
      <c r="C716" s="1" t="str">
        <f>("622454357372")</f>
        <v>622454357372</v>
      </c>
      <c r="D716" s="1">
        <v>438251</v>
      </c>
      <c r="E716" t="s">
        <v>1040</v>
      </c>
      <c r="F716" s="3">
        <v>9.6595744680851077</v>
      </c>
      <c r="G716" s="1" t="s">
        <v>13</v>
      </c>
      <c r="H716" s="2">
        <v>44621</v>
      </c>
      <c r="I716" s="1">
        <v>0.14799999999999999</v>
      </c>
      <c r="J716" s="1">
        <v>0.32600000000000001</v>
      </c>
      <c r="K716" s="1">
        <v>15</v>
      </c>
      <c r="L716" s="1" t="s">
        <v>14</v>
      </c>
    </row>
    <row r="717" spans="1:12" x14ac:dyDescent="0.25">
      <c r="A717" s="1" t="s">
        <v>1318</v>
      </c>
      <c r="B717" s="1" t="str">
        <f>("035738")</f>
        <v>035738</v>
      </c>
      <c r="C717" s="1" t="str">
        <f>("622454357389")</f>
        <v>622454357389</v>
      </c>
      <c r="D717" s="1">
        <v>438287</v>
      </c>
      <c r="E717" t="s">
        <v>1041</v>
      </c>
      <c r="F717" s="3">
        <v>13.978723404255321</v>
      </c>
      <c r="G717" s="1" t="s">
        <v>13</v>
      </c>
      <c r="H717" s="2">
        <v>44621</v>
      </c>
      <c r="I717" s="1">
        <v>0.19500000000000001</v>
      </c>
      <c r="J717" s="1">
        <v>0.43</v>
      </c>
      <c r="K717" s="1">
        <v>10</v>
      </c>
      <c r="L717" s="1" t="s">
        <v>14</v>
      </c>
    </row>
    <row r="718" spans="1:12" x14ac:dyDescent="0.25">
      <c r="A718" s="1" t="s">
        <v>1318</v>
      </c>
      <c r="B718" s="1" t="str">
        <f>("035739")</f>
        <v>035739</v>
      </c>
      <c r="C718" s="1" t="str">
        <f>("622454357396")</f>
        <v>622454357396</v>
      </c>
      <c r="D718" s="1">
        <v>438288</v>
      </c>
      <c r="E718" t="s">
        <v>1042</v>
      </c>
      <c r="F718" s="3">
        <v>13.978723404255321</v>
      </c>
      <c r="G718" s="1" t="s">
        <v>13</v>
      </c>
      <c r="H718" s="2">
        <v>44621</v>
      </c>
      <c r="I718" s="1">
        <v>0.2</v>
      </c>
      <c r="J718" s="1">
        <v>0.441</v>
      </c>
      <c r="K718" s="1">
        <v>10</v>
      </c>
      <c r="L718" s="1" t="s">
        <v>14</v>
      </c>
    </row>
    <row r="719" spans="1:12" x14ac:dyDescent="0.25">
      <c r="A719" s="1" t="s">
        <v>1318</v>
      </c>
      <c r="B719" s="1" t="str">
        <f>("035740")</f>
        <v>035740</v>
      </c>
      <c r="C719" s="1" t="str">
        <f>("622454357402")</f>
        <v>622454357402</v>
      </c>
      <c r="D719" s="1">
        <v>438289</v>
      </c>
      <c r="E719" t="s">
        <v>1043</v>
      </c>
      <c r="F719" s="3">
        <v>13.978723404255321</v>
      </c>
      <c r="G719" s="1" t="s">
        <v>13</v>
      </c>
      <c r="H719" s="2">
        <v>44621</v>
      </c>
      <c r="I719" s="1">
        <v>0.2</v>
      </c>
      <c r="J719" s="1">
        <v>0.441</v>
      </c>
      <c r="K719" s="1">
        <v>10</v>
      </c>
      <c r="L719" s="1" t="s">
        <v>14</v>
      </c>
    </row>
    <row r="720" spans="1:12" x14ac:dyDescent="0.25">
      <c r="A720" s="1" t="s">
        <v>1318</v>
      </c>
      <c r="B720" s="1" t="str">
        <f>("035741")</f>
        <v>035741</v>
      </c>
      <c r="C720" s="1" t="str">
        <f>("622454357419")</f>
        <v>622454357419</v>
      </c>
      <c r="D720" s="1">
        <v>438290</v>
      </c>
      <c r="E720" t="s">
        <v>1044</v>
      </c>
      <c r="F720" s="3">
        <v>13.978723404255321</v>
      </c>
      <c r="G720" s="1" t="s">
        <v>13</v>
      </c>
      <c r="H720" s="2">
        <v>44621</v>
      </c>
      <c r="I720" s="1">
        <v>0.19</v>
      </c>
      <c r="J720" s="1">
        <v>0.41899999999999998</v>
      </c>
      <c r="K720" s="1">
        <v>10</v>
      </c>
      <c r="L720" s="1" t="s">
        <v>14</v>
      </c>
    </row>
    <row r="721" spans="1:12" x14ac:dyDescent="0.25">
      <c r="A721" s="1" t="s">
        <v>1318</v>
      </c>
      <c r="B721" s="1" t="str">
        <f>("035742")</f>
        <v>035742</v>
      </c>
      <c r="C721" s="1" t="str">
        <f>("622454357426")</f>
        <v>622454357426</v>
      </c>
      <c r="D721" s="1">
        <v>438291</v>
      </c>
      <c r="E721" t="s">
        <v>1045</v>
      </c>
      <c r="F721" s="3">
        <v>13.978723404255321</v>
      </c>
      <c r="G721" s="1" t="s">
        <v>13</v>
      </c>
      <c r="H721" s="2">
        <v>44621</v>
      </c>
      <c r="I721" s="1">
        <v>0.21299999999999999</v>
      </c>
      <c r="J721" s="1">
        <v>0.47</v>
      </c>
      <c r="K721" s="1">
        <v>10</v>
      </c>
      <c r="L721" s="1" t="s">
        <v>14</v>
      </c>
    </row>
    <row r="722" spans="1:12" x14ac:dyDescent="0.25">
      <c r="A722" s="1" t="s">
        <v>1318</v>
      </c>
      <c r="B722" s="1" t="str">
        <f>("035743")</f>
        <v>035743</v>
      </c>
      <c r="C722" s="1" t="str">
        <f>("622454357433")</f>
        <v>622454357433</v>
      </c>
      <c r="D722" s="1">
        <v>438292</v>
      </c>
      <c r="E722" t="s">
        <v>1046</v>
      </c>
      <c r="F722" s="3">
        <v>13.978723404255321</v>
      </c>
      <c r="G722" s="1" t="s">
        <v>13</v>
      </c>
      <c r="H722" s="2">
        <v>44621</v>
      </c>
      <c r="I722" s="1">
        <v>0.14099999999999999</v>
      </c>
      <c r="J722" s="1">
        <v>0.311</v>
      </c>
      <c r="K722" s="1">
        <v>10</v>
      </c>
      <c r="L722" s="1" t="s">
        <v>14</v>
      </c>
    </row>
    <row r="723" spans="1:12" x14ac:dyDescent="0.25">
      <c r="A723" s="1" t="s">
        <v>1318</v>
      </c>
      <c r="B723" s="1" t="str">
        <f>("035744")</f>
        <v>035744</v>
      </c>
      <c r="C723" s="1" t="str">
        <f>("622454357440")</f>
        <v>622454357440</v>
      </c>
      <c r="D723" s="1">
        <v>438334</v>
      </c>
      <c r="E723" t="s">
        <v>1047</v>
      </c>
      <c r="F723" s="3">
        <v>16.074468085106382</v>
      </c>
      <c r="G723" s="1" t="s">
        <v>13</v>
      </c>
      <c r="H723" s="2">
        <v>44621</v>
      </c>
      <c r="I723" s="1">
        <v>0.28999999999999998</v>
      </c>
      <c r="J723" s="1">
        <v>0.63900000000000001</v>
      </c>
      <c r="K723" s="1">
        <v>10</v>
      </c>
      <c r="L723" s="1" t="s">
        <v>14</v>
      </c>
    </row>
    <row r="724" spans="1:12" x14ac:dyDescent="0.25">
      <c r="A724" s="1" t="s">
        <v>1318</v>
      </c>
      <c r="B724" s="1" t="str">
        <f>("035745")</f>
        <v>035745</v>
      </c>
      <c r="C724" s="1" t="str">
        <f>("622454357457")</f>
        <v>622454357457</v>
      </c>
      <c r="D724" s="1">
        <v>438335</v>
      </c>
      <c r="E724" t="s">
        <v>1048</v>
      </c>
      <c r="F724" s="3">
        <v>16.074468085106382</v>
      </c>
      <c r="G724" s="1" t="s">
        <v>13</v>
      </c>
      <c r="H724" s="2">
        <v>44621</v>
      </c>
      <c r="I724" s="1">
        <v>0.254</v>
      </c>
      <c r="J724" s="1">
        <v>0.56000000000000005</v>
      </c>
      <c r="K724" s="1">
        <v>10</v>
      </c>
      <c r="L724" s="1" t="s">
        <v>14</v>
      </c>
    </row>
    <row r="725" spans="1:12" x14ac:dyDescent="0.25">
      <c r="A725" s="1" t="s">
        <v>1318</v>
      </c>
      <c r="B725" s="1" t="str">
        <f>("035746")</f>
        <v>035746</v>
      </c>
      <c r="C725" s="1" t="str">
        <f>("622454357464")</f>
        <v>622454357464</v>
      </c>
      <c r="D725" s="1">
        <v>438336</v>
      </c>
      <c r="E725" t="s">
        <v>1049</v>
      </c>
      <c r="F725" s="3">
        <v>16.074468085106382</v>
      </c>
      <c r="G725" s="1" t="s">
        <v>13</v>
      </c>
      <c r="H725" s="2">
        <v>44621</v>
      </c>
      <c r="I725" s="1">
        <v>0.28100000000000003</v>
      </c>
      <c r="J725" s="1">
        <v>0.61899999999999999</v>
      </c>
      <c r="K725" s="1">
        <v>10</v>
      </c>
      <c r="L725" s="1" t="s">
        <v>14</v>
      </c>
    </row>
    <row r="726" spans="1:12" x14ac:dyDescent="0.25">
      <c r="A726" s="1" t="s">
        <v>1318</v>
      </c>
      <c r="B726" s="1" t="str">
        <f>("035747")</f>
        <v>035747</v>
      </c>
      <c r="C726" s="1" t="str">
        <f>("622454357471")</f>
        <v>622454357471</v>
      </c>
      <c r="D726" s="1">
        <v>438337</v>
      </c>
      <c r="E726" t="s">
        <v>1050</v>
      </c>
      <c r="F726" s="3">
        <v>16.074468085106382</v>
      </c>
      <c r="G726" s="1" t="s">
        <v>13</v>
      </c>
      <c r="H726" s="2">
        <v>44621</v>
      </c>
      <c r="I726" s="1">
        <v>0.27200000000000002</v>
      </c>
      <c r="J726" s="1">
        <v>0.6</v>
      </c>
      <c r="K726" s="1">
        <v>10</v>
      </c>
      <c r="L726" s="1" t="s">
        <v>14</v>
      </c>
    </row>
    <row r="727" spans="1:12" x14ac:dyDescent="0.25">
      <c r="A727" s="1" t="s">
        <v>1318</v>
      </c>
      <c r="B727" s="1" t="str">
        <f>("035748")</f>
        <v>035748</v>
      </c>
      <c r="C727" s="1" t="str">
        <f>("622454357488")</f>
        <v>622454357488</v>
      </c>
      <c r="D727" s="1">
        <v>438338</v>
      </c>
      <c r="E727" t="s">
        <v>1051</v>
      </c>
      <c r="F727" s="3">
        <v>16.074468085106382</v>
      </c>
      <c r="G727" s="1" t="s">
        <v>13</v>
      </c>
      <c r="H727" s="2">
        <v>44621</v>
      </c>
      <c r="I727" s="1">
        <v>0.24</v>
      </c>
      <c r="J727" s="1">
        <v>0.52900000000000003</v>
      </c>
      <c r="K727" s="1">
        <v>10</v>
      </c>
      <c r="L727" s="1" t="s">
        <v>14</v>
      </c>
    </row>
    <row r="728" spans="1:12" x14ac:dyDescent="0.25">
      <c r="A728" s="1" t="s">
        <v>1318</v>
      </c>
      <c r="B728" s="1" t="str">
        <f>("035749")</f>
        <v>035749</v>
      </c>
      <c r="C728" s="1" t="str">
        <f>("622454357495")</f>
        <v>622454357495</v>
      </c>
      <c r="D728" s="1">
        <v>438339</v>
      </c>
      <c r="E728" t="s">
        <v>1052</v>
      </c>
      <c r="F728" s="3">
        <v>16.074468085106382</v>
      </c>
      <c r="G728" s="1" t="s">
        <v>13</v>
      </c>
      <c r="H728" s="2">
        <v>44621</v>
      </c>
      <c r="I728" s="1">
        <v>0.20899999999999999</v>
      </c>
      <c r="J728" s="1">
        <v>0.46100000000000002</v>
      </c>
      <c r="K728" s="1">
        <v>10</v>
      </c>
      <c r="L728" s="1" t="s">
        <v>14</v>
      </c>
    </row>
    <row r="729" spans="1:12" x14ac:dyDescent="0.25">
      <c r="A729" s="1" t="s">
        <v>1318</v>
      </c>
      <c r="B729" s="1" t="str">
        <f>("035750")</f>
        <v>035750</v>
      </c>
      <c r="C729" s="1" t="str">
        <f>("622454357501")</f>
        <v>622454357501</v>
      </c>
      <c r="D729" s="1">
        <v>438420</v>
      </c>
      <c r="E729" t="s">
        <v>1053</v>
      </c>
      <c r="F729" s="3">
        <v>35.925531914893625</v>
      </c>
      <c r="G729" s="1" t="s">
        <v>13</v>
      </c>
      <c r="H729" s="2">
        <v>44621</v>
      </c>
      <c r="I729" s="1">
        <v>0.499</v>
      </c>
      <c r="J729" s="1">
        <v>1.1000000000000001</v>
      </c>
      <c r="K729" s="1">
        <v>5</v>
      </c>
      <c r="L729" s="1" t="s">
        <v>14</v>
      </c>
    </row>
    <row r="730" spans="1:12" x14ac:dyDescent="0.25">
      <c r="A730" s="1" t="s">
        <v>1318</v>
      </c>
      <c r="B730" s="1" t="str">
        <f>("035751")</f>
        <v>035751</v>
      </c>
      <c r="C730" s="1" t="str">
        <f>("622454357518")</f>
        <v>622454357518</v>
      </c>
      <c r="D730" s="1">
        <v>438421</v>
      </c>
      <c r="E730" t="s">
        <v>1054</v>
      </c>
      <c r="F730" s="3">
        <v>35.925531914893625</v>
      </c>
      <c r="G730" s="1" t="s">
        <v>13</v>
      </c>
      <c r="H730" s="2">
        <v>44621</v>
      </c>
      <c r="I730" s="1">
        <v>0.499</v>
      </c>
      <c r="J730" s="1">
        <v>1.1000000000000001</v>
      </c>
      <c r="K730" s="1">
        <v>6</v>
      </c>
      <c r="L730" s="1" t="s">
        <v>14</v>
      </c>
    </row>
    <row r="731" spans="1:12" x14ac:dyDescent="0.25">
      <c r="A731" s="1" t="s">
        <v>1318</v>
      </c>
      <c r="B731" s="1" t="str">
        <f>("035752")</f>
        <v>035752</v>
      </c>
      <c r="C731" s="1" t="str">
        <f>("622454357525")</f>
        <v>622454357525</v>
      </c>
      <c r="D731" s="1">
        <v>438422</v>
      </c>
      <c r="E731" t="s">
        <v>1055</v>
      </c>
      <c r="F731" s="3">
        <v>35.925531914893625</v>
      </c>
      <c r="G731" s="1" t="s">
        <v>13</v>
      </c>
      <c r="H731" s="2">
        <v>44621</v>
      </c>
      <c r="I731" s="1">
        <v>0.18</v>
      </c>
      <c r="J731" s="1">
        <v>0.39700000000000002</v>
      </c>
      <c r="K731" s="1">
        <v>6</v>
      </c>
      <c r="L731" s="1" t="s">
        <v>14</v>
      </c>
    </row>
    <row r="732" spans="1:12" x14ac:dyDescent="0.25">
      <c r="A732" s="1" t="s">
        <v>1318</v>
      </c>
      <c r="B732" s="1" t="str">
        <f>("035753")</f>
        <v>035753</v>
      </c>
      <c r="C732" s="1" t="str">
        <f>("622454357532")</f>
        <v>622454357532</v>
      </c>
      <c r="D732" s="1">
        <v>438488</v>
      </c>
      <c r="E732" t="s">
        <v>1056</v>
      </c>
      <c r="F732" s="3">
        <v>70.085106382978722</v>
      </c>
      <c r="G732" s="1" t="s">
        <v>13</v>
      </c>
      <c r="H732" s="2">
        <v>44621</v>
      </c>
      <c r="I732" s="1">
        <v>0.72599999999999998</v>
      </c>
      <c r="J732" s="1">
        <v>1.601</v>
      </c>
      <c r="K732" s="1">
        <v>5</v>
      </c>
      <c r="L732" s="1" t="s">
        <v>14</v>
      </c>
    </row>
    <row r="733" spans="1:12" x14ac:dyDescent="0.25">
      <c r="A733" s="1" t="s">
        <v>1318</v>
      </c>
      <c r="B733" s="1" t="str">
        <f>("035754")</f>
        <v>035754</v>
      </c>
      <c r="C733" s="1" t="str">
        <f>("622454357549")</f>
        <v>622454357549</v>
      </c>
      <c r="D733" s="1">
        <v>438490</v>
      </c>
      <c r="E733" t="s">
        <v>1057</v>
      </c>
      <c r="F733" s="3">
        <v>70.085106382978722</v>
      </c>
      <c r="G733" s="1" t="s">
        <v>13</v>
      </c>
      <c r="H733" s="2">
        <v>44621</v>
      </c>
      <c r="I733" s="1">
        <v>0.63500000000000001</v>
      </c>
      <c r="J733" s="1">
        <v>1.4</v>
      </c>
      <c r="K733" s="1">
        <v>6</v>
      </c>
      <c r="L733" s="1" t="s">
        <v>14</v>
      </c>
    </row>
    <row r="734" spans="1:12" x14ac:dyDescent="0.25">
      <c r="A734" s="1" t="s">
        <v>1318</v>
      </c>
      <c r="B734" s="1" t="str">
        <f>("035755")</f>
        <v>035755</v>
      </c>
      <c r="C734" s="1" t="str">
        <f>("622454357556")</f>
        <v>622454357556</v>
      </c>
      <c r="D734" s="1">
        <v>438528</v>
      </c>
      <c r="E734" t="s">
        <v>1058</v>
      </c>
      <c r="F734" s="3">
        <v>131.5</v>
      </c>
      <c r="G734" s="1" t="s">
        <v>13</v>
      </c>
      <c r="H734" s="2">
        <v>44621</v>
      </c>
      <c r="I734" s="1">
        <v>1.452</v>
      </c>
      <c r="J734" s="1">
        <v>3.2010000000000001</v>
      </c>
      <c r="K734" s="1">
        <v>5</v>
      </c>
      <c r="L734" s="1" t="s">
        <v>14</v>
      </c>
    </row>
    <row r="735" spans="1:12" x14ac:dyDescent="0.25">
      <c r="A735" s="1" t="s">
        <v>1318</v>
      </c>
      <c r="B735" s="1" t="str">
        <f>("035756")</f>
        <v>035756</v>
      </c>
      <c r="C735" s="1" t="str">
        <f>("622454357563")</f>
        <v>622454357563</v>
      </c>
      <c r="D735" s="1">
        <v>438530</v>
      </c>
      <c r="E735" t="s">
        <v>1059</v>
      </c>
      <c r="F735" s="3">
        <v>131.5</v>
      </c>
      <c r="G735" s="1" t="s">
        <v>13</v>
      </c>
      <c r="H735" s="2">
        <v>44621</v>
      </c>
      <c r="I735" s="1">
        <v>1.0429999999999999</v>
      </c>
      <c r="J735" s="1">
        <v>2.2989999999999999</v>
      </c>
      <c r="K735" s="1">
        <v>5</v>
      </c>
      <c r="L735" s="1" t="s">
        <v>14</v>
      </c>
    </row>
    <row r="736" spans="1:12" x14ac:dyDescent="0.25">
      <c r="A736" s="1" t="s">
        <v>1318</v>
      </c>
      <c r="B736" s="1" t="str">
        <f>("035757")</f>
        <v>035757</v>
      </c>
      <c r="C736" s="1" t="str">
        <f>("622454357570")</f>
        <v>622454357570</v>
      </c>
      <c r="D736" s="1">
        <v>438532</v>
      </c>
      <c r="E736" t="s">
        <v>1060</v>
      </c>
      <c r="F736" s="3">
        <v>131.5</v>
      </c>
      <c r="G736" s="1" t="s">
        <v>13</v>
      </c>
      <c r="H736" s="2">
        <v>44621</v>
      </c>
      <c r="I736" s="1">
        <v>1.2250000000000001</v>
      </c>
      <c r="J736" s="1">
        <v>2.7010000000000001</v>
      </c>
      <c r="K736" s="1">
        <v>5</v>
      </c>
      <c r="L736" s="1" t="s">
        <v>14</v>
      </c>
    </row>
    <row r="737" spans="1:12" x14ac:dyDescent="0.25">
      <c r="A737" s="1" t="s">
        <v>1318</v>
      </c>
      <c r="B737" s="1" t="str">
        <f>("035758")</f>
        <v>035758</v>
      </c>
      <c r="C737" s="1" t="str">
        <f>("622454357587")</f>
        <v>622454357587</v>
      </c>
      <c r="D737" s="1">
        <v>438534</v>
      </c>
      <c r="E737" t="s">
        <v>1061</v>
      </c>
      <c r="F737" s="3">
        <v>131.5</v>
      </c>
      <c r="G737" s="1" t="s">
        <v>13</v>
      </c>
      <c r="H737" s="2">
        <v>44621</v>
      </c>
      <c r="I737" s="1">
        <v>0.90700000000000003</v>
      </c>
      <c r="J737" s="1">
        <v>2</v>
      </c>
      <c r="K737" s="1">
        <v>5</v>
      </c>
      <c r="L737" s="1" t="s">
        <v>14</v>
      </c>
    </row>
    <row r="738" spans="1:12" x14ac:dyDescent="0.25">
      <c r="A738" s="1" t="s">
        <v>1318</v>
      </c>
      <c r="B738" s="1" t="str">
        <f>("035696")</f>
        <v>035696</v>
      </c>
      <c r="C738" s="1" t="str">
        <f>("622454356962")</f>
        <v>622454356962</v>
      </c>
      <c r="D738" s="1">
        <v>439052</v>
      </c>
      <c r="E738" t="s">
        <v>1062</v>
      </c>
      <c r="F738" s="3">
        <v>7.1914893617021276</v>
      </c>
      <c r="G738" s="1" t="s">
        <v>13</v>
      </c>
      <c r="H738" s="2">
        <v>44621</v>
      </c>
      <c r="I738" s="1">
        <v>5.0000000000000001E-3</v>
      </c>
      <c r="J738" s="1">
        <v>1.0999999999999999E-2</v>
      </c>
      <c r="L738" s="1" t="s">
        <v>14</v>
      </c>
    </row>
    <row r="739" spans="1:12" x14ac:dyDescent="0.25">
      <c r="A739" s="1" t="s">
        <v>1318</v>
      </c>
      <c r="B739" s="1" t="str">
        <f>("035697")</f>
        <v>035697</v>
      </c>
      <c r="C739" s="1" t="str">
        <f>("622454356979")</f>
        <v>622454356979</v>
      </c>
      <c r="D739" s="1">
        <v>439072</v>
      </c>
      <c r="E739" t="s">
        <v>1063</v>
      </c>
      <c r="F739" s="3">
        <v>7.1914893617021276</v>
      </c>
      <c r="G739" s="1" t="s">
        <v>13</v>
      </c>
      <c r="H739" s="2">
        <v>44621</v>
      </c>
      <c r="I739" s="1">
        <v>8.9999999999999993E-3</v>
      </c>
      <c r="J739" s="1">
        <v>0.02</v>
      </c>
      <c r="K739" s="1">
        <v>50</v>
      </c>
      <c r="L739" s="1" t="s">
        <v>14</v>
      </c>
    </row>
    <row r="740" spans="1:12" x14ac:dyDescent="0.25">
      <c r="A740" s="1" t="s">
        <v>1318</v>
      </c>
      <c r="B740" s="1" t="str">
        <f>("035698")</f>
        <v>035698</v>
      </c>
      <c r="C740" s="1" t="str">
        <f>("622454356986")</f>
        <v>622454356986</v>
      </c>
      <c r="D740" s="1">
        <v>439073</v>
      </c>
      <c r="E740" t="s">
        <v>1064</v>
      </c>
      <c r="F740" s="3">
        <v>7.1914893617021276</v>
      </c>
      <c r="G740" s="1" t="s">
        <v>13</v>
      </c>
      <c r="H740" s="2">
        <v>44621</v>
      </c>
      <c r="I740" s="1">
        <v>5.0000000000000001E-3</v>
      </c>
      <c r="J740" s="1">
        <v>1.0999999999999999E-2</v>
      </c>
      <c r="K740" s="1">
        <v>50</v>
      </c>
      <c r="L740" s="1" t="s">
        <v>14</v>
      </c>
    </row>
    <row r="741" spans="1:12" x14ac:dyDescent="0.25">
      <c r="A741" s="1" t="s">
        <v>1318</v>
      </c>
      <c r="B741" s="1" t="str">
        <f>("035699")</f>
        <v>035699</v>
      </c>
      <c r="C741" s="1" t="str">
        <f>("622454356993")</f>
        <v>622454356993</v>
      </c>
      <c r="D741" s="1">
        <v>439098</v>
      </c>
      <c r="E741" t="s">
        <v>1065</v>
      </c>
      <c r="F741" s="3">
        <v>4.4361702127659575</v>
      </c>
      <c r="G741" s="1" t="s">
        <v>13</v>
      </c>
      <c r="H741" s="2">
        <v>44621</v>
      </c>
      <c r="I741" s="1">
        <v>1.4E-2</v>
      </c>
      <c r="J741" s="1">
        <v>3.1E-2</v>
      </c>
      <c r="K741" s="1">
        <v>50</v>
      </c>
      <c r="L741" s="1" t="s">
        <v>14</v>
      </c>
    </row>
    <row r="742" spans="1:12" x14ac:dyDescent="0.25">
      <c r="A742" s="1" t="s">
        <v>1318</v>
      </c>
      <c r="B742" s="1" t="str">
        <f>("035968")</f>
        <v>035968</v>
      </c>
      <c r="C742" s="1" t="str">
        <f>("622454359680")</f>
        <v>622454359680</v>
      </c>
      <c r="D742" s="1">
        <v>439099</v>
      </c>
      <c r="E742" t="s">
        <v>1066</v>
      </c>
      <c r="F742" s="3">
        <v>4.4361702127659575</v>
      </c>
      <c r="G742" s="1" t="s">
        <v>13</v>
      </c>
      <c r="H742" s="2">
        <v>44621</v>
      </c>
      <c r="I742" s="1">
        <v>1.4E-2</v>
      </c>
      <c r="J742" s="1">
        <v>3.1E-2</v>
      </c>
      <c r="K742" s="1">
        <v>50</v>
      </c>
      <c r="L742" s="1" t="s">
        <v>14</v>
      </c>
    </row>
    <row r="743" spans="1:12" x14ac:dyDescent="0.25">
      <c r="A743" s="1" t="s">
        <v>1318</v>
      </c>
      <c r="B743" s="1" t="str">
        <f>("035700")</f>
        <v>035700</v>
      </c>
      <c r="C743" s="1" t="str">
        <f>("622454357006")</f>
        <v>622454357006</v>
      </c>
      <c r="D743" s="1">
        <v>439101</v>
      </c>
      <c r="E743" t="s">
        <v>1067</v>
      </c>
      <c r="F743" s="3">
        <v>4.4361702127659575</v>
      </c>
      <c r="G743" s="1" t="s">
        <v>13</v>
      </c>
      <c r="H743" s="2">
        <v>44621</v>
      </c>
      <c r="I743" s="1">
        <v>1.4999999999999999E-2</v>
      </c>
      <c r="J743" s="1">
        <v>3.3000000000000002E-2</v>
      </c>
      <c r="K743" s="1">
        <v>60</v>
      </c>
      <c r="L743" s="1" t="s">
        <v>14</v>
      </c>
    </row>
    <row r="744" spans="1:12" x14ac:dyDescent="0.25">
      <c r="A744" s="1" t="s">
        <v>1318</v>
      </c>
      <c r="B744" s="1" t="str">
        <f>("035701")</f>
        <v>035701</v>
      </c>
      <c r="C744" s="1" t="str">
        <f>("622454357013")</f>
        <v>622454357013</v>
      </c>
      <c r="D744" s="1">
        <v>439130</v>
      </c>
      <c r="E744" t="s">
        <v>1068</v>
      </c>
      <c r="F744" s="3">
        <v>6.2340425531914905</v>
      </c>
      <c r="G744" s="1" t="s">
        <v>13</v>
      </c>
      <c r="H744" s="2">
        <v>44621</v>
      </c>
      <c r="I744" s="1">
        <v>2.5000000000000001E-2</v>
      </c>
      <c r="J744" s="1">
        <v>5.5E-2</v>
      </c>
      <c r="K744" s="1">
        <v>50</v>
      </c>
      <c r="L744" s="1" t="s">
        <v>14</v>
      </c>
    </row>
    <row r="745" spans="1:12" x14ac:dyDescent="0.25">
      <c r="A745" s="1" t="s">
        <v>1318</v>
      </c>
      <c r="B745" s="1" t="str">
        <f>("035702")</f>
        <v>035702</v>
      </c>
      <c r="C745" s="1" t="str">
        <f>("622454357020")</f>
        <v>622454357020</v>
      </c>
      <c r="D745" s="1">
        <v>439131</v>
      </c>
      <c r="E745" t="s">
        <v>1069</v>
      </c>
      <c r="F745" s="3">
        <v>6.2340425531914905</v>
      </c>
      <c r="G745" s="1" t="s">
        <v>13</v>
      </c>
      <c r="H745" s="2">
        <v>44621</v>
      </c>
      <c r="I745" s="1">
        <v>0.02</v>
      </c>
      <c r="J745" s="1">
        <v>4.3999999999999997E-2</v>
      </c>
      <c r="K745" s="1">
        <v>50</v>
      </c>
      <c r="L745" s="1" t="s">
        <v>14</v>
      </c>
    </row>
    <row r="746" spans="1:12" x14ac:dyDescent="0.25">
      <c r="A746" s="1" t="s">
        <v>1318</v>
      </c>
      <c r="B746" s="1" t="str">
        <f>("035703")</f>
        <v>035703</v>
      </c>
      <c r="C746" s="1" t="str">
        <f>("622454357037")</f>
        <v>622454357037</v>
      </c>
      <c r="D746" s="1">
        <v>439166</v>
      </c>
      <c r="E746" t="s">
        <v>1070</v>
      </c>
      <c r="F746" s="3">
        <v>9.2765957446808525</v>
      </c>
      <c r="G746" s="1" t="s">
        <v>13</v>
      </c>
      <c r="H746" s="2">
        <v>44621</v>
      </c>
      <c r="I746" s="1">
        <v>4.1000000000000002E-2</v>
      </c>
      <c r="J746" s="1">
        <v>0.09</v>
      </c>
      <c r="K746" s="1">
        <v>25</v>
      </c>
      <c r="L746" s="1" t="s">
        <v>14</v>
      </c>
    </row>
    <row r="747" spans="1:12" x14ac:dyDescent="0.25">
      <c r="A747" s="1" t="s">
        <v>1318</v>
      </c>
      <c r="B747" s="1" t="str">
        <f>("035704")</f>
        <v>035704</v>
      </c>
      <c r="C747" s="1" t="str">
        <f>("622454357044")</f>
        <v>622454357044</v>
      </c>
      <c r="D747" s="1">
        <v>439167</v>
      </c>
      <c r="E747" t="s">
        <v>1071</v>
      </c>
      <c r="F747" s="3">
        <v>9.2765957446808525</v>
      </c>
      <c r="G747" s="1" t="s">
        <v>13</v>
      </c>
      <c r="H747" s="2">
        <v>44621</v>
      </c>
      <c r="I747" s="1">
        <v>3.5999999999999997E-2</v>
      </c>
      <c r="J747" s="1">
        <v>7.9000000000000001E-2</v>
      </c>
      <c r="K747" s="1">
        <v>25</v>
      </c>
      <c r="L747" s="1" t="s">
        <v>14</v>
      </c>
    </row>
    <row r="748" spans="1:12" x14ac:dyDescent="0.25">
      <c r="A748" s="1" t="s">
        <v>1318</v>
      </c>
      <c r="B748" s="1" t="str">
        <f>("035705")</f>
        <v>035705</v>
      </c>
      <c r="C748" s="1" t="str">
        <f>("622454357051")</f>
        <v>622454357051</v>
      </c>
      <c r="D748" s="1">
        <v>439168</v>
      </c>
      <c r="E748" t="s">
        <v>1072</v>
      </c>
      <c r="F748" s="3">
        <v>9.2765957446808525</v>
      </c>
      <c r="G748" s="1" t="s">
        <v>13</v>
      </c>
      <c r="H748" s="2">
        <v>44621</v>
      </c>
      <c r="I748" s="1">
        <v>3.2000000000000001E-2</v>
      </c>
      <c r="J748" s="1">
        <v>7.0999999999999994E-2</v>
      </c>
      <c r="K748" s="1">
        <v>25</v>
      </c>
      <c r="L748" s="1" t="s">
        <v>14</v>
      </c>
    </row>
    <row r="749" spans="1:12" x14ac:dyDescent="0.25">
      <c r="A749" s="1" t="s">
        <v>1318</v>
      </c>
      <c r="B749" s="1" t="str">
        <f>("035706")</f>
        <v>035706</v>
      </c>
      <c r="C749" s="1" t="str">
        <f>("622454357068")</f>
        <v>622454357068</v>
      </c>
      <c r="D749" s="1">
        <v>439209</v>
      </c>
      <c r="E749" t="s">
        <v>1073</v>
      </c>
      <c r="F749" s="3">
        <v>11.234042553191491</v>
      </c>
      <c r="G749" s="1" t="s">
        <v>13</v>
      </c>
      <c r="H749" s="2">
        <v>44621</v>
      </c>
      <c r="I749" s="1">
        <v>0.05</v>
      </c>
      <c r="J749" s="1">
        <v>0.11</v>
      </c>
      <c r="K749" s="1">
        <v>25</v>
      </c>
      <c r="L749" s="1" t="s">
        <v>14</v>
      </c>
    </row>
    <row r="750" spans="1:12" x14ac:dyDescent="0.25">
      <c r="A750" s="1" t="s">
        <v>1318</v>
      </c>
      <c r="B750" s="1" t="str">
        <f>("035707")</f>
        <v>035707</v>
      </c>
      <c r="C750" s="1" t="str">
        <f>("622454357075")</f>
        <v>622454357075</v>
      </c>
      <c r="D750" s="1">
        <v>439210</v>
      </c>
      <c r="E750" t="s">
        <v>1074</v>
      </c>
      <c r="F750" s="3">
        <v>11.234042553191491</v>
      </c>
      <c r="G750" s="1" t="s">
        <v>13</v>
      </c>
      <c r="H750" s="2">
        <v>44621</v>
      </c>
      <c r="I750" s="1">
        <v>0.05</v>
      </c>
      <c r="J750" s="1">
        <v>0.11</v>
      </c>
      <c r="K750" s="1">
        <v>25</v>
      </c>
      <c r="L750" s="1" t="s">
        <v>14</v>
      </c>
    </row>
    <row r="751" spans="1:12" x14ac:dyDescent="0.25">
      <c r="A751" s="1" t="s">
        <v>1318</v>
      </c>
      <c r="B751" s="1" t="str">
        <f>("035708")</f>
        <v>035708</v>
      </c>
      <c r="C751" s="1" t="str">
        <f>("622454357082")</f>
        <v>622454357082</v>
      </c>
      <c r="D751" s="1">
        <v>439211</v>
      </c>
      <c r="E751" t="s">
        <v>1075</v>
      </c>
      <c r="F751" s="3">
        <v>11.234042553191491</v>
      </c>
      <c r="G751" s="1" t="s">
        <v>13</v>
      </c>
      <c r="H751" s="2">
        <v>44621</v>
      </c>
      <c r="I751" s="1">
        <v>0.05</v>
      </c>
      <c r="J751" s="1">
        <v>0.11</v>
      </c>
      <c r="K751" s="1">
        <v>25</v>
      </c>
      <c r="L751" s="1" t="s">
        <v>14</v>
      </c>
    </row>
    <row r="752" spans="1:12" x14ac:dyDescent="0.25">
      <c r="A752" s="1" t="s">
        <v>1318</v>
      </c>
      <c r="B752" s="1" t="str">
        <f>("035709")</f>
        <v>035709</v>
      </c>
      <c r="C752" s="1" t="str">
        <f>("622454357099")</f>
        <v>622454357099</v>
      </c>
      <c r="D752" s="1">
        <v>439212</v>
      </c>
      <c r="E752" t="s">
        <v>1076</v>
      </c>
      <c r="F752" s="3">
        <v>11.234042553191491</v>
      </c>
      <c r="G752" s="1" t="s">
        <v>13</v>
      </c>
      <c r="H752" s="2">
        <v>44621</v>
      </c>
      <c r="I752" s="1">
        <v>0.27</v>
      </c>
      <c r="J752" s="1">
        <v>0.59499999999999997</v>
      </c>
      <c r="K752" s="1">
        <v>25</v>
      </c>
      <c r="L752" s="1" t="s">
        <v>14</v>
      </c>
    </row>
    <row r="753" spans="1:12" x14ac:dyDescent="0.25">
      <c r="A753" s="1" t="s">
        <v>1318</v>
      </c>
      <c r="B753" s="1" t="str">
        <f>("035711")</f>
        <v>035711</v>
      </c>
      <c r="C753" s="1" t="str">
        <f>("622454357112")</f>
        <v>622454357112</v>
      </c>
      <c r="D753" s="1">
        <v>439249</v>
      </c>
      <c r="E753" t="s">
        <v>1077</v>
      </c>
      <c r="F753" s="3">
        <v>12.021276595744682</v>
      </c>
      <c r="G753" s="1" t="s">
        <v>13</v>
      </c>
      <c r="H753" s="2">
        <v>44621</v>
      </c>
      <c r="I753" s="1">
        <v>8.5000000000000006E-2</v>
      </c>
      <c r="J753" s="1">
        <v>0.187</v>
      </c>
      <c r="K753" s="1">
        <v>10</v>
      </c>
      <c r="L753" s="1" t="s">
        <v>14</v>
      </c>
    </row>
    <row r="754" spans="1:12" x14ac:dyDescent="0.25">
      <c r="A754" s="1" t="s">
        <v>1318</v>
      </c>
      <c r="B754" s="1" t="str">
        <f>("035712")</f>
        <v>035712</v>
      </c>
      <c r="C754" s="1" t="str">
        <f>("622454357129")</f>
        <v>622454357129</v>
      </c>
      <c r="D754" s="1">
        <v>439250</v>
      </c>
      <c r="E754" t="s">
        <v>1078</v>
      </c>
      <c r="F754" s="3">
        <v>12.021276595744682</v>
      </c>
      <c r="G754" s="1" t="s">
        <v>13</v>
      </c>
      <c r="H754" s="2">
        <v>44621</v>
      </c>
      <c r="I754" s="1">
        <v>7.6999999999999999E-2</v>
      </c>
      <c r="J754" s="1">
        <v>0.17</v>
      </c>
      <c r="K754" s="1">
        <v>10</v>
      </c>
      <c r="L754" s="1" t="s">
        <v>14</v>
      </c>
    </row>
    <row r="755" spans="1:12" x14ac:dyDescent="0.25">
      <c r="A755" s="1" t="s">
        <v>1318</v>
      </c>
      <c r="B755" s="1" t="str">
        <f>("035713")</f>
        <v>035713</v>
      </c>
      <c r="C755" s="1" t="str">
        <f>("622454357136")</f>
        <v>622454357136</v>
      </c>
      <c r="D755" s="1">
        <v>439251</v>
      </c>
      <c r="E755" t="s">
        <v>1079</v>
      </c>
      <c r="F755" s="3">
        <v>12.021276595744682</v>
      </c>
      <c r="G755" s="1" t="s">
        <v>13</v>
      </c>
      <c r="H755" s="2">
        <v>44621</v>
      </c>
      <c r="I755" s="1">
        <v>5.8999999999999997E-2</v>
      </c>
      <c r="J755" s="1">
        <v>0.13</v>
      </c>
      <c r="K755" s="1">
        <v>10</v>
      </c>
      <c r="L755" s="1" t="s">
        <v>14</v>
      </c>
    </row>
    <row r="756" spans="1:12" x14ac:dyDescent="0.25">
      <c r="A756" s="1" t="s">
        <v>1318</v>
      </c>
      <c r="B756" s="1" t="str">
        <f>("035714")</f>
        <v>035714</v>
      </c>
      <c r="C756" s="1" t="str">
        <f>("622454357143")</f>
        <v>622454357143</v>
      </c>
      <c r="D756" s="1">
        <v>439292</v>
      </c>
      <c r="E756" t="s">
        <v>1080</v>
      </c>
      <c r="F756" s="3">
        <v>42.010638297872347</v>
      </c>
      <c r="G756" s="1" t="s">
        <v>13</v>
      </c>
      <c r="H756" s="2">
        <v>44621</v>
      </c>
      <c r="I756" s="1">
        <v>0.109</v>
      </c>
      <c r="J756" s="1">
        <v>0.24</v>
      </c>
      <c r="K756" s="1">
        <v>10</v>
      </c>
      <c r="L756" s="1" t="s">
        <v>14</v>
      </c>
    </row>
    <row r="757" spans="1:12" x14ac:dyDescent="0.25">
      <c r="A757" s="1" t="s">
        <v>1318</v>
      </c>
      <c r="B757" s="1" t="str">
        <f>("035715")</f>
        <v>035715</v>
      </c>
      <c r="C757" s="1" t="str">
        <f>("622454357150")</f>
        <v>622454357150</v>
      </c>
      <c r="D757" s="1">
        <v>439338</v>
      </c>
      <c r="E757" t="s">
        <v>1081</v>
      </c>
      <c r="F757" s="3">
        <v>49.702127659574472</v>
      </c>
      <c r="G757" s="1" t="s">
        <v>13</v>
      </c>
      <c r="H757" s="2">
        <v>44621</v>
      </c>
      <c r="I757" s="1">
        <v>0.23100000000000001</v>
      </c>
      <c r="J757" s="1">
        <v>0.50900000000000001</v>
      </c>
      <c r="K757" s="1">
        <v>10</v>
      </c>
      <c r="L757" s="1" t="s">
        <v>14</v>
      </c>
    </row>
    <row r="758" spans="1:12" x14ac:dyDescent="0.25">
      <c r="A758" s="1" t="s">
        <v>1318</v>
      </c>
      <c r="B758" s="1" t="str">
        <f>("035716")</f>
        <v>035716</v>
      </c>
      <c r="C758" s="1" t="str">
        <f>("622454357167")</f>
        <v>622454357167</v>
      </c>
      <c r="D758" s="1">
        <v>439339</v>
      </c>
      <c r="E758" t="s">
        <v>1082</v>
      </c>
      <c r="F758" s="3">
        <v>49.702127659574472</v>
      </c>
      <c r="G758" s="1" t="s">
        <v>13</v>
      </c>
      <c r="H758" s="2">
        <v>44621</v>
      </c>
      <c r="I758" s="1">
        <v>0.18099999999999999</v>
      </c>
      <c r="J758" s="1">
        <v>0.39900000000000002</v>
      </c>
      <c r="K758" s="1">
        <v>10</v>
      </c>
      <c r="L758" s="1" t="s">
        <v>14</v>
      </c>
    </row>
    <row r="759" spans="1:12" x14ac:dyDescent="0.25">
      <c r="A759" s="1" t="s">
        <v>1318</v>
      </c>
      <c r="B759" s="1" t="str">
        <f>("035406")</f>
        <v>035406</v>
      </c>
      <c r="C759" s="1" t="str">
        <f>("622454354067")</f>
        <v>622454354067</v>
      </c>
      <c r="D759" s="1">
        <v>447003</v>
      </c>
      <c r="E759" t="s">
        <v>1083</v>
      </c>
      <c r="F759" s="3">
        <v>3.9042553191489362</v>
      </c>
      <c r="G759" s="1" t="s">
        <v>13</v>
      </c>
      <c r="H759" s="2">
        <v>44621</v>
      </c>
      <c r="I759" s="1">
        <v>4.0000000000000001E-3</v>
      </c>
      <c r="J759" s="1">
        <v>8.9999999999999993E-3</v>
      </c>
      <c r="L759" s="1" t="s">
        <v>14</v>
      </c>
    </row>
    <row r="760" spans="1:12" x14ac:dyDescent="0.25">
      <c r="A760" s="1" t="s">
        <v>1318</v>
      </c>
      <c r="B760" s="1" t="str">
        <f>("035407")</f>
        <v>035407</v>
      </c>
      <c r="C760" s="1" t="str">
        <f>("622454354074")</f>
        <v>622454354074</v>
      </c>
      <c r="D760" s="1">
        <v>447005</v>
      </c>
      <c r="E760" t="s">
        <v>1084</v>
      </c>
      <c r="F760" s="3">
        <v>1.3936170212765959</v>
      </c>
      <c r="G760" s="1" t="s">
        <v>13</v>
      </c>
      <c r="H760" s="2">
        <v>44621</v>
      </c>
      <c r="I760" s="1">
        <v>1.4E-2</v>
      </c>
      <c r="J760" s="1">
        <v>3.1E-2</v>
      </c>
      <c r="K760" s="1">
        <v>100</v>
      </c>
      <c r="L760" s="1" t="s">
        <v>14</v>
      </c>
    </row>
    <row r="761" spans="1:12" x14ac:dyDescent="0.25">
      <c r="A761" s="1" t="s">
        <v>1318</v>
      </c>
      <c r="B761" s="1" t="str">
        <f>("035408")</f>
        <v>035408</v>
      </c>
      <c r="C761" s="1" t="str">
        <f>("622454354081")</f>
        <v>622454354081</v>
      </c>
      <c r="D761" s="1">
        <v>447007</v>
      </c>
      <c r="E761" t="s">
        <v>1085</v>
      </c>
      <c r="F761" s="3">
        <v>1.574468085106383</v>
      </c>
      <c r="G761" s="1" t="s">
        <v>13</v>
      </c>
      <c r="H761" s="2">
        <v>44621</v>
      </c>
      <c r="I761" s="1">
        <v>0.02</v>
      </c>
      <c r="J761" s="1">
        <v>4.3999999999999997E-2</v>
      </c>
      <c r="K761" s="1">
        <v>75</v>
      </c>
      <c r="L761" s="1" t="s">
        <v>14</v>
      </c>
    </row>
    <row r="762" spans="1:12" x14ac:dyDescent="0.25">
      <c r="A762" s="1" t="s">
        <v>1318</v>
      </c>
      <c r="B762" s="1" t="str">
        <f>("035409")</f>
        <v>035409</v>
      </c>
      <c r="C762" s="1" t="str">
        <f>("622454354098")</f>
        <v>622454354098</v>
      </c>
      <c r="D762" s="1">
        <v>447010</v>
      </c>
      <c r="E762" t="s">
        <v>1086</v>
      </c>
      <c r="F762" s="3">
        <v>2.5106382978723403</v>
      </c>
      <c r="G762" s="1" t="s">
        <v>13</v>
      </c>
      <c r="H762" s="2">
        <v>44621</v>
      </c>
      <c r="I762" s="1">
        <v>3.2000000000000001E-2</v>
      </c>
      <c r="J762" s="1">
        <v>7.0999999999999994E-2</v>
      </c>
      <c r="K762" s="1">
        <v>50</v>
      </c>
      <c r="L762" s="1" t="s">
        <v>14</v>
      </c>
    </row>
    <row r="763" spans="1:12" x14ac:dyDescent="0.25">
      <c r="A763" s="1" t="s">
        <v>1318</v>
      </c>
      <c r="B763" s="1" t="str">
        <f>("035410")</f>
        <v>035410</v>
      </c>
      <c r="C763" s="1" t="str">
        <f>("622454354104")</f>
        <v>622454354104</v>
      </c>
      <c r="D763" s="1">
        <v>447012</v>
      </c>
      <c r="E763" t="s">
        <v>1087</v>
      </c>
      <c r="F763" s="3">
        <v>3.5531914893617023</v>
      </c>
      <c r="G763" s="1" t="s">
        <v>13</v>
      </c>
      <c r="H763" s="2">
        <v>44621</v>
      </c>
      <c r="I763" s="1">
        <v>4.8000000000000001E-2</v>
      </c>
      <c r="J763" s="1">
        <v>0.106</v>
      </c>
      <c r="K763" s="1">
        <v>25</v>
      </c>
      <c r="L763" s="1" t="s">
        <v>14</v>
      </c>
    </row>
    <row r="764" spans="1:12" x14ac:dyDescent="0.25">
      <c r="A764" s="1" t="s">
        <v>1318</v>
      </c>
      <c r="B764" s="1" t="str">
        <f>("035411")</f>
        <v>035411</v>
      </c>
      <c r="C764" s="1" t="str">
        <f>("622454354111")</f>
        <v>622454354111</v>
      </c>
      <c r="D764" s="1">
        <v>447015</v>
      </c>
      <c r="E764" t="s">
        <v>1088</v>
      </c>
      <c r="F764" s="3">
        <v>3.9042553191489362</v>
      </c>
      <c r="G764" s="1" t="s">
        <v>13</v>
      </c>
      <c r="H764" s="2">
        <v>44621</v>
      </c>
      <c r="I764" s="1">
        <v>6.2E-2</v>
      </c>
      <c r="J764" s="1">
        <v>0.13700000000000001</v>
      </c>
      <c r="K764" s="1">
        <v>30</v>
      </c>
      <c r="L764" s="1" t="s">
        <v>14</v>
      </c>
    </row>
    <row r="765" spans="1:12" x14ac:dyDescent="0.25">
      <c r="A765" s="1" t="s">
        <v>1318</v>
      </c>
      <c r="B765" s="1" t="str">
        <f>("035412")</f>
        <v>035412</v>
      </c>
      <c r="C765" s="1" t="str">
        <f>("622454354128")</f>
        <v>622454354128</v>
      </c>
      <c r="D765" s="1">
        <v>447020</v>
      </c>
      <c r="E765" t="s">
        <v>1089</v>
      </c>
      <c r="F765" s="3">
        <v>4.6914893617021285</v>
      </c>
      <c r="G765" s="1" t="s">
        <v>13</v>
      </c>
      <c r="H765" s="2">
        <v>44621</v>
      </c>
      <c r="I765" s="1">
        <v>0.08</v>
      </c>
      <c r="J765" s="1">
        <v>0.17599999999999999</v>
      </c>
      <c r="K765" s="1">
        <v>25</v>
      </c>
      <c r="L765" s="1" t="s">
        <v>14</v>
      </c>
    </row>
    <row r="766" spans="1:12" x14ac:dyDescent="0.25">
      <c r="A766" s="1" t="s">
        <v>1318</v>
      </c>
      <c r="B766" s="1" t="str">
        <f>("035413")</f>
        <v>035413</v>
      </c>
      <c r="C766" s="1" t="str">
        <f>("622454354135")</f>
        <v>622454354135</v>
      </c>
      <c r="D766" s="1">
        <v>447025</v>
      </c>
      <c r="E766" t="s">
        <v>1090</v>
      </c>
      <c r="F766" s="3">
        <v>14.893617021276597</v>
      </c>
      <c r="G766" s="1" t="s">
        <v>13</v>
      </c>
      <c r="H766" s="2">
        <v>44621</v>
      </c>
      <c r="I766" s="1">
        <v>0.14799999999999999</v>
      </c>
      <c r="J766" s="1">
        <v>0.32600000000000001</v>
      </c>
      <c r="K766" s="1">
        <v>10</v>
      </c>
      <c r="L766" s="1" t="s">
        <v>14</v>
      </c>
    </row>
    <row r="767" spans="1:12" x14ac:dyDescent="0.25">
      <c r="A767" s="1" t="s">
        <v>1318</v>
      </c>
      <c r="B767" s="1" t="str">
        <f>("035414")</f>
        <v>035414</v>
      </c>
      <c r="C767" s="1" t="str">
        <f>("622454354142")</f>
        <v>622454354142</v>
      </c>
      <c r="D767" s="1">
        <v>447030</v>
      </c>
      <c r="E767" t="s">
        <v>1091</v>
      </c>
      <c r="F767" s="3">
        <v>16.297872340425535</v>
      </c>
      <c r="G767" s="1" t="s">
        <v>13</v>
      </c>
      <c r="H767" s="2">
        <v>44621</v>
      </c>
      <c r="I767" s="1">
        <v>0.222</v>
      </c>
      <c r="J767" s="1">
        <v>0.48899999999999999</v>
      </c>
      <c r="K767" s="1">
        <v>10</v>
      </c>
      <c r="L767" s="1" t="s">
        <v>14</v>
      </c>
    </row>
    <row r="768" spans="1:12" x14ac:dyDescent="0.25">
      <c r="A768" s="1" t="s">
        <v>1318</v>
      </c>
      <c r="B768" s="1" t="str">
        <f>("035415")</f>
        <v>035415</v>
      </c>
      <c r="C768" s="1" t="str">
        <f>("622454354159")</f>
        <v>622454354159</v>
      </c>
      <c r="D768" s="1">
        <v>447040</v>
      </c>
      <c r="E768" t="s">
        <v>1092</v>
      </c>
      <c r="F768" s="3">
        <v>37.042553191489361</v>
      </c>
      <c r="G768" s="1" t="s">
        <v>13</v>
      </c>
      <c r="H768" s="2">
        <v>44621</v>
      </c>
      <c r="I768" s="1">
        <v>0.40799999999999997</v>
      </c>
      <c r="J768" s="1">
        <v>0.89900000000000002</v>
      </c>
      <c r="K768" s="1">
        <v>16</v>
      </c>
      <c r="L768" s="1" t="s">
        <v>14</v>
      </c>
    </row>
    <row r="769" spans="1:12" x14ac:dyDescent="0.25">
      <c r="A769" s="1" t="s">
        <v>1318</v>
      </c>
      <c r="B769" s="1" t="str">
        <f>("035416")</f>
        <v>035416</v>
      </c>
      <c r="C769" s="1" t="str">
        <f>("622454354166")</f>
        <v>622454354166</v>
      </c>
      <c r="D769" s="1">
        <v>447050</v>
      </c>
      <c r="E769" t="s">
        <v>1093</v>
      </c>
      <c r="F769" s="3">
        <v>62.212765957446805</v>
      </c>
      <c r="G769" s="1" t="s">
        <v>13</v>
      </c>
      <c r="H769" s="2">
        <v>44621</v>
      </c>
      <c r="I769" s="1">
        <v>0.63500000000000001</v>
      </c>
      <c r="J769" s="1">
        <v>1.4</v>
      </c>
      <c r="K769" s="1">
        <v>5</v>
      </c>
      <c r="L769" s="1" t="s">
        <v>14</v>
      </c>
    </row>
    <row r="770" spans="1:12" x14ac:dyDescent="0.25">
      <c r="A770" s="1" t="s">
        <v>1318</v>
      </c>
      <c r="B770" s="1" t="str">
        <f>("035417")</f>
        <v>035417</v>
      </c>
      <c r="C770" s="1" t="str">
        <f>("622454354173")</f>
        <v>622454354173</v>
      </c>
      <c r="D770" s="1">
        <v>447060</v>
      </c>
      <c r="E770" t="s">
        <v>1094</v>
      </c>
      <c r="F770" s="3">
        <v>88.808510638297875</v>
      </c>
      <c r="G770" s="1" t="s">
        <v>13</v>
      </c>
      <c r="H770" s="2">
        <v>44621</v>
      </c>
      <c r="I770" s="1">
        <v>0.98</v>
      </c>
      <c r="J770" s="1">
        <v>2.161</v>
      </c>
      <c r="K770" s="1">
        <v>6</v>
      </c>
      <c r="L770" s="1" t="s">
        <v>14</v>
      </c>
    </row>
    <row r="771" spans="1:12" x14ac:dyDescent="0.25">
      <c r="A771" s="1" t="s">
        <v>1318</v>
      </c>
      <c r="B771" s="1" t="str">
        <f>("035418")</f>
        <v>035418</v>
      </c>
      <c r="C771" s="1" t="str">
        <f>("622454354180")</f>
        <v>622454354180</v>
      </c>
      <c r="D771" s="1">
        <v>447080</v>
      </c>
      <c r="E771" t="s">
        <v>1095</v>
      </c>
      <c r="F771" s="3">
        <v>223.10638297872342</v>
      </c>
      <c r="G771" s="1" t="s">
        <v>13</v>
      </c>
      <c r="H771" s="2">
        <v>44621</v>
      </c>
      <c r="I771" s="1">
        <v>1.778</v>
      </c>
      <c r="J771" s="1">
        <v>3.92</v>
      </c>
      <c r="K771" s="1">
        <v>4</v>
      </c>
      <c r="L771" s="1" t="s">
        <v>14</v>
      </c>
    </row>
    <row r="772" spans="1:12" x14ac:dyDescent="0.25">
      <c r="A772" s="1" t="s">
        <v>1318</v>
      </c>
      <c r="B772" s="1" t="str">
        <f>("235902")</f>
        <v>235902</v>
      </c>
      <c r="C772" s="1" t="str">
        <f>("622454397309")</f>
        <v>622454397309</v>
      </c>
      <c r="D772" s="1">
        <v>447100</v>
      </c>
      <c r="E772" t="s">
        <v>1096</v>
      </c>
      <c r="F772" s="3">
        <v>438.57446808510639</v>
      </c>
      <c r="G772" s="1" t="s">
        <v>13</v>
      </c>
      <c r="H772" s="2">
        <v>44621</v>
      </c>
      <c r="I772" s="1">
        <v>3.3</v>
      </c>
      <c r="J772" s="1">
        <v>7.2750000000000004</v>
      </c>
      <c r="K772" s="1">
        <v>1</v>
      </c>
      <c r="L772" s="1" t="s">
        <v>27</v>
      </c>
    </row>
    <row r="773" spans="1:12" x14ac:dyDescent="0.25">
      <c r="A773" s="1" t="s">
        <v>1318</v>
      </c>
      <c r="B773" s="1" t="str">
        <f>("235903")</f>
        <v>235903</v>
      </c>
      <c r="C773" s="1" t="str">
        <f>("622454397316")</f>
        <v>622454397316</v>
      </c>
      <c r="D773" s="1">
        <v>447120</v>
      </c>
      <c r="E773" t="s">
        <v>1097</v>
      </c>
      <c r="F773" s="3">
        <v>569.468085106383</v>
      </c>
      <c r="G773" s="1" t="s">
        <v>13</v>
      </c>
      <c r="H773" s="2">
        <v>44621</v>
      </c>
      <c r="I773" s="1">
        <v>5.14</v>
      </c>
      <c r="J773" s="1">
        <v>11.332000000000001</v>
      </c>
      <c r="K773" s="1">
        <v>1</v>
      </c>
      <c r="L773" s="1" t="s">
        <v>27</v>
      </c>
    </row>
    <row r="774" spans="1:12" x14ac:dyDescent="0.25">
      <c r="A774" s="1" t="s">
        <v>1318</v>
      </c>
      <c r="B774" s="1" t="str">
        <f>("125798")</f>
        <v>125798</v>
      </c>
      <c r="C774" s="1" t="str">
        <f>("622454466531")</f>
        <v>622454466531</v>
      </c>
      <c r="D774" s="1" t="s">
        <v>1098</v>
      </c>
      <c r="E774" t="s">
        <v>1099</v>
      </c>
      <c r="F774" s="3">
        <v>344.09</v>
      </c>
      <c r="G774" s="1" t="s">
        <v>13</v>
      </c>
      <c r="H774" s="2">
        <v>44621</v>
      </c>
      <c r="I774" s="1">
        <v>4.4279999999999999</v>
      </c>
      <c r="J774" s="1">
        <v>9.7620000000000005</v>
      </c>
      <c r="K774" s="1">
        <v>6</v>
      </c>
      <c r="L774" s="1" t="s">
        <v>31</v>
      </c>
    </row>
    <row r="775" spans="1:12" x14ac:dyDescent="0.25">
      <c r="A775" s="1" t="s">
        <v>1318</v>
      </c>
      <c r="B775" s="1" t="str">
        <f>("125800")</f>
        <v>125800</v>
      </c>
      <c r="C775" s="1" t="str">
        <f>("622454466555")</f>
        <v>622454466555</v>
      </c>
      <c r="D775" s="1" t="s">
        <v>1100</v>
      </c>
      <c r="E775" t="s">
        <v>1101</v>
      </c>
      <c r="F775" s="3">
        <v>499.89</v>
      </c>
      <c r="G775" s="1" t="s">
        <v>13</v>
      </c>
      <c r="H775" s="2">
        <v>44621</v>
      </c>
      <c r="I775" s="1">
        <v>6.7359999999999998</v>
      </c>
      <c r="J775" s="1">
        <v>14.85</v>
      </c>
      <c r="K775" s="1">
        <v>2</v>
      </c>
      <c r="L775" s="1" t="s">
        <v>31</v>
      </c>
    </row>
    <row r="776" spans="1:12" x14ac:dyDescent="0.25">
      <c r="A776" s="1" t="s">
        <v>1318</v>
      </c>
      <c r="B776" s="1" t="str">
        <f>("125802")</f>
        <v>125802</v>
      </c>
      <c r="C776" s="1" t="str">
        <f>("622454466579")</f>
        <v>622454466579</v>
      </c>
      <c r="D776" s="1" t="s">
        <v>1102</v>
      </c>
      <c r="E776" t="s">
        <v>1103</v>
      </c>
      <c r="F776" s="3">
        <v>627.38</v>
      </c>
      <c r="G776" s="1" t="s">
        <v>13</v>
      </c>
      <c r="H776" s="2">
        <v>44621</v>
      </c>
      <c r="I776" s="1">
        <v>7.5369999999999999</v>
      </c>
      <c r="J776" s="1">
        <v>16.616</v>
      </c>
      <c r="K776" s="1">
        <v>3</v>
      </c>
      <c r="L776" s="1" t="s">
        <v>31</v>
      </c>
    </row>
    <row r="777" spans="1:12" x14ac:dyDescent="0.25">
      <c r="A777" s="1" t="s">
        <v>1318</v>
      </c>
      <c r="B777" s="1" t="str">
        <f>("125804")</f>
        <v>125804</v>
      </c>
      <c r="C777" s="1" t="str">
        <f>("622454466593")</f>
        <v>622454466593</v>
      </c>
      <c r="D777" s="1" t="s">
        <v>1104</v>
      </c>
      <c r="E777" t="s">
        <v>1105</v>
      </c>
      <c r="F777" s="3">
        <v>748.82</v>
      </c>
      <c r="G777" s="1" t="s">
        <v>13</v>
      </c>
      <c r="H777" s="2">
        <v>44621</v>
      </c>
      <c r="I777" s="1">
        <v>10.686999999999999</v>
      </c>
      <c r="J777" s="1">
        <v>23.561</v>
      </c>
      <c r="K777" s="1">
        <v>2</v>
      </c>
      <c r="L777" s="1" t="s">
        <v>31</v>
      </c>
    </row>
    <row r="778" spans="1:12" x14ac:dyDescent="0.25">
      <c r="A778" s="1" t="s">
        <v>1318</v>
      </c>
      <c r="B778" s="1" t="str">
        <f>("125806")</f>
        <v>125806</v>
      </c>
      <c r="C778" s="1" t="str">
        <f>("622454466616")</f>
        <v>622454466616</v>
      </c>
      <c r="D778" s="1" t="s">
        <v>1106</v>
      </c>
      <c r="E778" t="s">
        <v>1107</v>
      </c>
      <c r="F778" s="3">
        <v>1319.49</v>
      </c>
      <c r="G778" s="1" t="s">
        <v>13</v>
      </c>
      <c r="H778" s="2">
        <v>44621</v>
      </c>
      <c r="I778" s="1">
        <v>13.319000000000001</v>
      </c>
      <c r="J778" s="1">
        <v>29.363</v>
      </c>
      <c r="K778" s="1">
        <v>1</v>
      </c>
      <c r="L778" s="1" t="s">
        <v>31</v>
      </c>
    </row>
    <row r="779" spans="1:12" x14ac:dyDescent="0.25">
      <c r="A779" s="1" t="s">
        <v>1318</v>
      </c>
      <c r="B779" s="1" t="str">
        <f>("125807")</f>
        <v>125807</v>
      </c>
      <c r="C779" s="1" t="str">
        <f>("622454466623")</f>
        <v>622454466623</v>
      </c>
      <c r="D779" s="1" t="s">
        <v>1108</v>
      </c>
      <c r="E779" t="s">
        <v>1109</v>
      </c>
      <c r="F779" s="3">
        <v>2003.62</v>
      </c>
      <c r="G779" s="1" t="s">
        <v>13</v>
      </c>
      <c r="H779" s="2">
        <v>44621</v>
      </c>
      <c r="I779" s="1">
        <v>21.158000000000001</v>
      </c>
      <c r="J779" s="1">
        <v>46.645000000000003</v>
      </c>
      <c r="K779" s="1">
        <v>1</v>
      </c>
      <c r="L779" s="1" t="s">
        <v>31</v>
      </c>
    </row>
    <row r="780" spans="1:12" x14ac:dyDescent="0.25">
      <c r="A780" s="1" t="s">
        <v>1318</v>
      </c>
      <c r="B780" s="1" t="str">
        <f>("125808")</f>
        <v>125808</v>
      </c>
      <c r="C780" s="1" t="str">
        <f>("622454466630")</f>
        <v>622454466630</v>
      </c>
      <c r="D780" s="1" t="s">
        <v>1110</v>
      </c>
      <c r="E780" t="s">
        <v>1111</v>
      </c>
      <c r="F780" s="3">
        <v>3188.99</v>
      </c>
      <c r="G780" s="1" t="s">
        <v>13</v>
      </c>
      <c r="H780" s="2">
        <v>44621</v>
      </c>
      <c r="I780" s="1">
        <v>29.596</v>
      </c>
      <c r="J780" s="1">
        <v>65.248000000000005</v>
      </c>
      <c r="L780" s="1" t="s">
        <v>31</v>
      </c>
    </row>
    <row r="781" spans="1:12" x14ac:dyDescent="0.25">
      <c r="A781" s="1" t="s">
        <v>1318</v>
      </c>
      <c r="B781" s="1" t="str">
        <f>("035948")</f>
        <v>035948</v>
      </c>
      <c r="C781" s="1" t="str">
        <f>("622454359482")</f>
        <v>622454359482</v>
      </c>
      <c r="D781" s="1">
        <v>448003</v>
      </c>
      <c r="E781" t="s">
        <v>1112</v>
      </c>
      <c r="F781" s="3">
        <v>5.2446808510638299</v>
      </c>
      <c r="G781" s="1" t="s">
        <v>13</v>
      </c>
      <c r="H781" s="2">
        <v>44621</v>
      </c>
      <c r="I781" s="1">
        <v>8.9999999999999993E-3</v>
      </c>
      <c r="J781" s="1">
        <v>0.02</v>
      </c>
      <c r="L781" s="1" t="s">
        <v>14</v>
      </c>
    </row>
    <row r="782" spans="1:12" x14ac:dyDescent="0.25">
      <c r="A782" s="1" t="s">
        <v>1318</v>
      </c>
      <c r="B782" s="1" t="str">
        <f>("035423")</f>
        <v>035423</v>
      </c>
      <c r="C782" s="1" t="str">
        <f>("622454354234")</f>
        <v>622454354234</v>
      </c>
      <c r="D782" s="1">
        <v>448005</v>
      </c>
      <c r="E782" t="s">
        <v>1113</v>
      </c>
      <c r="F782" s="3">
        <v>2.8936170212765959</v>
      </c>
      <c r="G782" s="1" t="s">
        <v>13</v>
      </c>
      <c r="H782" s="2">
        <v>44621</v>
      </c>
      <c r="I782" s="1">
        <v>2.5000000000000001E-2</v>
      </c>
      <c r="J782" s="1">
        <v>5.5E-2</v>
      </c>
      <c r="K782" s="1">
        <v>50</v>
      </c>
      <c r="L782" s="1" t="s">
        <v>14</v>
      </c>
    </row>
    <row r="783" spans="1:12" x14ac:dyDescent="0.25">
      <c r="A783" s="1" t="s">
        <v>1318</v>
      </c>
      <c r="B783" s="1" t="str">
        <f>("035424")</f>
        <v>035424</v>
      </c>
      <c r="C783" s="1" t="str">
        <f>("622454354241")</f>
        <v>622454354241</v>
      </c>
      <c r="D783" s="1">
        <v>448007</v>
      </c>
      <c r="E783" t="s">
        <v>1114</v>
      </c>
      <c r="F783" s="3">
        <v>3.3297872340425534</v>
      </c>
      <c r="G783" s="1" t="s">
        <v>13</v>
      </c>
      <c r="H783" s="2">
        <v>44621</v>
      </c>
      <c r="I783" s="1">
        <v>0.03</v>
      </c>
      <c r="J783" s="1">
        <v>6.6000000000000003E-2</v>
      </c>
      <c r="K783" s="1">
        <v>40</v>
      </c>
      <c r="L783" s="1" t="s">
        <v>14</v>
      </c>
    </row>
    <row r="784" spans="1:12" x14ac:dyDescent="0.25">
      <c r="A784" s="1" t="s">
        <v>1318</v>
      </c>
      <c r="B784" s="1" t="str">
        <f>("035425")</f>
        <v>035425</v>
      </c>
      <c r="C784" s="1" t="str">
        <f>("622454354258")</f>
        <v>622454354258</v>
      </c>
      <c r="D784" s="1">
        <v>448010</v>
      </c>
      <c r="E784" t="s">
        <v>1115</v>
      </c>
      <c r="F784" s="3">
        <v>5.0212765957446805</v>
      </c>
      <c r="G784" s="1" t="s">
        <v>13</v>
      </c>
      <c r="H784" s="2">
        <v>44621</v>
      </c>
      <c r="I784" s="1">
        <v>6.0999999999999999E-2</v>
      </c>
      <c r="J784" s="1">
        <v>0.13400000000000001</v>
      </c>
      <c r="K784" s="1">
        <v>25</v>
      </c>
      <c r="L784" s="1" t="s">
        <v>14</v>
      </c>
    </row>
    <row r="785" spans="1:12" x14ac:dyDescent="0.25">
      <c r="A785" s="1" t="s">
        <v>1318</v>
      </c>
      <c r="B785" s="1" t="str">
        <f>("035426")</f>
        <v>035426</v>
      </c>
      <c r="C785" s="1" t="str">
        <f>("622454354265")</f>
        <v>622454354265</v>
      </c>
      <c r="D785" s="1">
        <v>448012</v>
      </c>
      <c r="E785" t="s">
        <v>1116</v>
      </c>
      <c r="F785" s="3">
        <v>5.9787234042553195</v>
      </c>
      <c r="G785" s="1" t="s">
        <v>13</v>
      </c>
      <c r="H785" s="2">
        <v>44621</v>
      </c>
      <c r="I785" s="1">
        <v>7.1999999999999995E-2</v>
      </c>
      <c r="J785" s="1">
        <v>0.159</v>
      </c>
      <c r="K785" s="1">
        <v>15</v>
      </c>
      <c r="L785" s="1" t="s">
        <v>14</v>
      </c>
    </row>
    <row r="786" spans="1:12" x14ac:dyDescent="0.25">
      <c r="A786" s="1" t="s">
        <v>1318</v>
      </c>
      <c r="B786" s="1" t="str">
        <f>("035427")</f>
        <v>035427</v>
      </c>
      <c r="C786" s="1" t="str">
        <f>("622454354272")</f>
        <v>622454354272</v>
      </c>
      <c r="D786" s="1">
        <v>448015</v>
      </c>
      <c r="E786" t="s">
        <v>1117</v>
      </c>
      <c r="F786" s="3">
        <v>6.2340425531914905</v>
      </c>
      <c r="G786" s="1" t="s">
        <v>13</v>
      </c>
      <c r="H786" s="2">
        <v>44621</v>
      </c>
      <c r="I786" s="1">
        <v>0.08</v>
      </c>
      <c r="J786" s="1">
        <v>0.17599999999999999</v>
      </c>
      <c r="K786" s="1">
        <v>20</v>
      </c>
      <c r="L786" s="1" t="s">
        <v>14</v>
      </c>
    </row>
    <row r="787" spans="1:12" x14ac:dyDescent="0.25">
      <c r="A787" s="1" t="s">
        <v>1318</v>
      </c>
      <c r="B787" s="1" t="str">
        <f>("035428")</f>
        <v>035428</v>
      </c>
      <c r="C787" s="1" t="str">
        <f>("622454354289")</f>
        <v>622454354289</v>
      </c>
      <c r="D787" s="1">
        <v>448020</v>
      </c>
      <c r="E787" t="s">
        <v>1118</v>
      </c>
      <c r="F787" s="3">
        <v>11.042553191489363</v>
      </c>
      <c r="G787" s="1" t="s">
        <v>13</v>
      </c>
      <c r="H787" s="2">
        <v>44621</v>
      </c>
      <c r="I787" s="1">
        <v>0.13</v>
      </c>
      <c r="J787" s="1">
        <v>0.28699999999999998</v>
      </c>
      <c r="K787" s="1">
        <v>15</v>
      </c>
      <c r="L787" s="1" t="s">
        <v>14</v>
      </c>
    </row>
    <row r="788" spans="1:12" x14ac:dyDescent="0.25">
      <c r="A788" s="1" t="s">
        <v>1318</v>
      </c>
      <c r="B788" s="1" t="str">
        <f>("035429")</f>
        <v>035429</v>
      </c>
      <c r="C788" s="1" t="str">
        <f>("622454354296")</f>
        <v>622454354296</v>
      </c>
      <c r="D788" s="1">
        <v>448025</v>
      </c>
      <c r="E788" t="s">
        <v>1119</v>
      </c>
      <c r="F788" s="3">
        <v>16.297872340425535</v>
      </c>
      <c r="G788" s="1" t="s">
        <v>13</v>
      </c>
      <c r="H788" s="2">
        <v>44621</v>
      </c>
      <c r="I788" s="1">
        <v>0.15</v>
      </c>
      <c r="J788" s="1">
        <v>0.33100000000000002</v>
      </c>
      <c r="K788" s="1">
        <v>10</v>
      </c>
      <c r="L788" s="1" t="s">
        <v>14</v>
      </c>
    </row>
    <row r="789" spans="1:12" x14ac:dyDescent="0.25">
      <c r="A789" s="1" t="s">
        <v>1318</v>
      </c>
      <c r="B789" s="1" t="str">
        <f>("035430")</f>
        <v>035430</v>
      </c>
      <c r="C789" s="1" t="str">
        <f>("622454354302")</f>
        <v>622454354302</v>
      </c>
      <c r="D789" s="1">
        <v>448030</v>
      </c>
      <c r="E789" t="s">
        <v>1120</v>
      </c>
      <c r="F789" s="3">
        <v>21.297872340425531</v>
      </c>
      <c r="G789" s="1" t="s">
        <v>13</v>
      </c>
      <c r="H789" s="2">
        <v>44621</v>
      </c>
      <c r="I789" s="1">
        <v>0.22</v>
      </c>
      <c r="J789" s="1">
        <v>0.48499999999999999</v>
      </c>
      <c r="K789" s="1">
        <v>10</v>
      </c>
      <c r="L789" s="1" t="s">
        <v>14</v>
      </c>
    </row>
    <row r="790" spans="1:12" x14ac:dyDescent="0.25">
      <c r="A790" s="1" t="s">
        <v>1318</v>
      </c>
      <c r="B790" s="1" t="str">
        <f>("035431")</f>
        <v>035431</v>
      </c>
      <c r="C790" s="1" t="str">
        <f>("622454354319")</f>
        <v>622454354319</v>
      </c>
      <c r="D790" s="1">
        <v>448040</v>
      </c>
      <c r="E790" t="s">
        <v>1121</v>
      </c>
      <c r="F790" s="3">
        <v>37.382978723404257</v>
      </c>
      <c r="G790" s="1" t="s">
        <v>13</v>
      </c>
      <c r="H790" s="2">
        <v>44621</v>
      </c>
      <c r="I790" s="1">
        <v>0.4</v>
      </c>
      <c r="J790" s="1">
        <v>0.88200000000000001</v>
      </c>
      <c r="K790" s="1">
        <v>5</v>
      </c>
      <c r="L790" s="1" t="s">
        <v>14</v>
      </c>
    </row>
    <row r="791" spans="1:12" x14ac:dyDescent="0.25">
      <c r="A791" s="1" t="s">
        <v>1318</v>
      </c>
      <c r="B791" s="1" t="str">
        <f>("035432")</f>
        <v>035432</v>
      </c>
      <c r="C791" s="1" t="str">
        <f>("622454354326")</f>
        <v>622454354326</v>
      </c>
      <c r="D791" s="1">
        <v>448050</v>
      </c>
      <c r="E791" t="s">
        <v>1122</v>
      </c>
      <c r="F791" s="3">
        <v>72.414893617021278</v>
      </c>
      <c r="G791" s="1" t="s">
        <v>13</v>
      </c>
      <c r="H791" s="2">
        <v>44621</v>
      </c>
      <c r="I791" s="1">
        <v>0.63500000000000001</v>
      </c>
      <c r="J791" s="1">
        <v>1.4</v>
      </c>
      <c r="K791" s="1">
        <v>5</v>
      </c>
      <c r="L791" s="1" t="s">
        <v>14</v>
      </c>
    </row>
    <row r="792" spans="1:12" x14ac:dyDescent="0.25">
      <c r="A792" s="1" t="s">
        <v>1318</v>
      </c>
      <c r="B792" s="1" t="str">
        <f>("035433")</f>
        <v>035433</v>
      </c>
      <c r="C792" s="1" t="str">
        <f>("622454354333")</f>
        <v>622454354333</v>
      </c>
      <c r="D792" s="1">
        <v>448060</v>
      </c>
      <c r="E792" t="s">
        <v>1123</v>
      </c>
      <c r="F792" s="3">
        <v>88.319148936170208</v>
      </c>
      <c r="G792" s="1" t="s">
        <v>13</v>
      </c>
      <c r="H792" s="2">
        <v>44621</v>
      </c>
      <c r="I792" s="1">
        <v>0.68</v>
      </c>
      <c r="J792" s="1">
        <v>1.4990000000000001</v>
      </c>
      <c r="K792" s="1">
        <v>8</v>
      </c>
      <c r="L792" s="1" t="s">
        <v>14</v>
      </c>
    </row>
    <row r="793" spans="1:12" x14ac:dyDescent="0.25">
      <c r="A793" s="1" t="s">
        <v>1318</v>
      </c>
      <c r="B793" s="1" t="str">
        <f>("035946")</f>
        <v>035946</v>
      </c>
      <c r="C793" s="1" t="str">
        <f>("622454359468")</f>
        <v>622454359468</v>
      </c>
      <c r="D793" s="1">
        <v>449003</v>
      </c>
      <c r="E793" t="s">
        <v>1124</v>
      </c>
      <c r="F793" s="3">
        <v>4.0851063829787231</v>
      </c>
      <c r="G793" s="1" t="s">
        <v>13</v>
      </c>
      <c r="H793" s="2">
        <v>44621</v>
      </c>
      <c r="I793" s="1">
        <v>5.0000000000000001E-3</v>
      </c>
      <c r="J793" s="1">
        <v>1.0999999999999999E-2</v>
      </c>
      <c r="L793" s="1" t="s">
        <v>14</v>
      </c>
    </row>
    <row r="794" spans="1:12" x14ac:dyDescent="0.25">
      <c r="A794" s="1" t="s">
        <v>1318</v>
      </c>
      <c r="B794" s="1" t="str">
        <f>("035631")</f>
        <v>035631</v>
      </c>
      <c r="C794" s="1" t="str">
        <f>("622454356313")</f>
        <v>622454356313</v>
      </c>
      <c r="D794" s="1">
        <v>449005</v>
      </c>
      <c r="E794" t="s">
        <v>1125</v>
      </c>
      <c r="F794" s="3">
        <v>3.3297872340425534</v>
      </c>
      <c r="G794" s="1" t="s">
        <v>13</v>
      </c>
      <c r="H794" s="2">
        <v>44621</v>
      </c>
      <c r="I794" s="1">
        <v>8.9999999999999993E-3</v>
      </c>
      <c r="J794" s="1">
        <v>0.02</v>
      </c>
      <c r="L794" s="1" t="s">
        <v>14</v>
      </c>
    </row>
    <row r="795" spans="1:12" x14ac:dyDescent="0.25">
      <c r="A795" s="1" t="s">
        <v>1318</v>
      </c>
      <c r="B795" s="1" t="str">
        <f>("035632")</f>
        <v>035632</v>
      </c>
      <c r="C795" s="1" t="str">
        <f>("622454356320")</f>
        <v>622454356320</v>
      </c>
      <c r="D795" s="1">
        <v>449007</v>
      </c>
      <c r="E795" t="s">
        <v>1126</v>
      </c>
      <c r="F795" s="3">
        <v>3.9042553191489362</v>
      </c>
      <c r="G795" s="1" t="s">
        <v>13</v>
      </c>
      <c r="H795" s="2">
        <v>44621</v>
      </c>
      <c r="I795" s="1">
        <v>1.4E-2</v>
      </c>
      <c r="J795" s="1">
        <v>3.1E-2</v>
      </c>
      <c r="L795" s="1" t="s">
        <v>14</v>
      </c>
    </row>
    <row r="796" spans="1:12" x14ac:dyDescent="0.25">
      <c r="A796" s="1" t="s">
        <v>1318</v>
      </c>
      <c r="B796" s="1" t="str">
        <f>("035633")</f>
        <v>035633</v>
      </c>
      <c r="C796" s="1" t="str">
        <f>("622454356337")</f>
        <v>622454356337</v>
      </c>
      <c r="D796" s="1">
        <v>449010</v>
      </c>
      <c r="E796" t="s">
        <v>1127</v>
      </c>
      <c r="F796" s="3">
        <v>4.6914893617021285</v>
      </c>
      <c r="G796" s="1" t="s">
        <v>13</v>
      </c>
      <c r="H796" s="2">
        <v>44621</v>
      </c>
      <c r="I796" s="1">
        <v>2.7E-2</v>
      </c>
      <c r="J796" s="1">
        <v>0.06</v>
      </c>
      <c r="K796" s="1">
        <v>50</v>
      </c>
      <c r="L796" s="1" t="s">
        <v>14</v>
      </c>
    </row>
    <row r="797" spans="1:12" x14ac:dyDescent="0.25">
      <c r="A797" s="1" t="s">
        <v>1318</v>
      </c>
      <c r="B797" s="1" t="str">
        <f>("035634")</f>
        <v>035634</v>
      </c>
      <c r="C797" s="1" t="str">
        <f>("622454356344")</f>
        <v>622454356344</v>
      </c>
      <c r="D797" s="1">
        <v>449012</v>
      </c>
      <c r="E797" t="s">
        <v>1128</v>
      </c>
      <c r="F797" s="3">
        <v>6.2340425531914905</v>
      </c>
      <c r="G797" s="1" t="s">
        <v>13</v>
      </c>
      <c r="H797" s="2">
        <v>44621</v>
      </c>
      <c r="I797" s="1">
        <v>4.1000000000000002E-2</v>
      </c>
      <c r="J797" s="1">
        <v>0.09</v>
      </c>
      <c r="K797" s="1">
        <v>25</v>
      </c>
      <c r="L797" s="1" t="s">
        <v>14</v>
      </c>
    </row>
    <row r="798" spans="1:12" x14ac:dyDescent="0.25">
      <c r="A798" s="1" t="s">
        <v>1318</v>
      </c>
      <c r="B798" s="1" t="str">
        <f>("035635")</f>
        <v>035635</v>
      </c>
      <c r="C798" s="1" t="str">
        <f>("622454356351")</f>
        <v>622454356351</v>
      </c>
      <c r="D798" s="1">
        <v>449015</v>
      </c>
      <c r="E798" t="s">
        <v>1129</v>
      </c>
      <c r="F798" s="3">
        <v>7.9361702127659575</v>
      </c>
      <c r="G798" s="1" t="s">
        <v>13</v>
      </c>
      <c r="H798" s="2">
        <v>44621</v>
      </c>
      <c r="I798" s="1">
        <v>5.8999999999999997E-2</v>
      </c>
      <c r="J798" s="1">
        <v>0.13</v>
      </c>
      <c r="K798" s="1">
        <v>25</v>
      </c>
      <c r="L798" s="1" t="s">
        <v>14</v>
      </c>
    </row>
    <row r="799" spans="1:12" x14ac:dyDescent="0.25">
      <c r="A799" s="1" t="s">
        <v>1318</v>
      </c>
      <c r="B799" s="1" t="str">
        <f>("035636")</f>
        <v>035636</v>
      </c>
      <c r="C799" s="1" t="str">
        <f>("622454356368")</f>
        <v>622454356368</v>
      </c>
      <c r="D799" s="1">
        <v>449020</v>
      </c>
      <c r="E799" t="s">
        <v>1130</v>
      </c>
      <c r="F799" s="3">
        <v>9.8191489361702136</v>
      </c>
      <c r="G799" s="1" t="s">
        <v>13</v>
      </c>
      <c r="H799" s="2">
        <v>44621</v>
      </c>
      <c r="I799" s="1">
        <v>8.7999999999999995E-2</v>
      </c>
      <c r="J799" s="1">
        <v>0.19400000000000001</v>
      </c>
      <c r="K799" s="1">
        <v>10</v>
      </c>
      <c r="L799" s="1" t="s">
        <v>14</v>
      </c>
    </row>
    <row r="800" spans="1:12" x14ac:dyDescent="0.25">
      <c r="A800" s="1" t="s">
        <v>1318</v>
      </c>
      <c r="B800" s="1" t="str">
        <f>("035637")</f>
        <v>035637</v>
      </c>
      <c r="C800" s="1" t="str">
        <f>("622454356375")</f>
        <v>622454356375</v>
      </c>
      <c r="D800" s="1">
        <v>449025</v>
      </c>
      <c r="E800" t="s">
        <v>1131</v>
      </c>
      <c r="F800" s="3">
        <v>16.840425531914896</v>
      </c>
      <c r="G800" s="1" t="s">
        <v>13</v>
      </c>
      <c r="H800" s="2">
        <v>44621</v>
      </c>
      <c r="I800" s="1">
        <v>0.154</v>
      </c>
      <c r="J800" s="1">
        <v>0.34</v>
      </c>
      <c r="K800" s="1">
        <v>10</v>
      </c>
      <c r="L800" s="1" t="s">
        <v>14</v>
      </c>
    </row>
    <row r="801" spans="1:12" x14ac:dyDescent="0.25">
      <c r="A801" s="1" t="s">
        <v>1318</v>
      </c>
      <c r="B801" s="1" t="str">
        <f>("035638")</f>
        <v>035638</v>
      </c>
      <c r="C801" s="1" t="str">
        <f>("622454356382")</f>
        <v>622454356382</v>
      </c>
      <c r="D801" s="1">
        <v>449030</v>
      </c>
      <c r="E801" t="s">
        <v>1132</v>
      </c>
      <c r="F801" s="3">
        <v>22.255319148936174</v>
      </c>
      <c r="G801" s="1" t="s">
        <v>13</v>
      </c>
      <c r="H801" s="2">
        <v>44621</v>
      </c>
      <c r="I801" s="1">
        <v>0.218</v>
      </c>
      <c r="J801" s="1">
        <v>0.48099999999999998</v>
      </c>
      <c r="K801" s="1">
        <v>10</v>
      </c>
      <c r="L801" s="1" t="s">
        <v>14</v>
      </c>
    </row>
    <row r="802" spans="1:12" x14ac:dyDescent="0.25">
      <c r="A802" s="1" t="s">
        <v>1318</v>
      </c>
      <c r="B802" s="1" t="str">
        <f>("035639")</f>
        <v>035639</v>
      </c>
      <c r="C802" s="1" t="str">
        <f>("622454356399")</f>
        <v>622454356399</v>
      </c>
      <c r="D802" s="1">
        <v>449040</v>
      </c>
      <c r="E802" t="s">
        <v>1133</v>
      </c>
      <c r="F802" s="3">
        <v>50.372340425531917</v>
      </c>
      <c r="G802" s="1" t="s">
        <v>13</v>
      </c>
      <c r="H802" s="2">
        <v>44621</v>
      </c>
      <c r="I802" s="1">
        <v>0.34</v>
      </c>
      <c r="J802" s="1">
        <v>0.75</v>
      </c>
      <c r="K802" s="1">
        <v>6</v>
      </c>
      <c r="L802" s="1" t="s">
        <v>14</v>
      </c>
    </row>
    <row r="803" spans="1:12" x14ac:dyDescent="0.25">
      <c r="A803" s="1" t="s">
        <v>1318</v>
      </c>
      <c r="B803" s="1" t="str">
        <f>("125810")</f>
        <v>125810</v>
      </c>
      <c r="C803" s="1" t="str">
        <f>("622454466654")</f>
        <v>622454466654</v>
      </c>
      <c r="D803" s="1" t="s">
        <v>1134</v>
      </c>
      <c r="E803" t="s">
        <v>1135</v>
      </c>
      <c r="F803" s="3">
        <v>119.38</v>
      </c>
      <c r="G803" s="1" t="s">
        <v>13</v>
      </c>
      <c r="H803" s="2">
        <v>44621</v>
      </c>
      <c r="I803" s="1">
        <v>2.077</v>
      </c>
      <c r="J803" s="1">
        <v>4.5789999999999997</v>
      </c>
      <c r="K803" s="1">
        <v>3</v>
      </c>
      <c r="L803" s="1" t="s">
        <v>31</v>
      </c>
    </row>
    <row r="804" spans="1:12" x14ac:dyDescent="0.25">
      <c r="A804" s="1" t="s">
        <v>1318</v>
      </c>
      <c r="B804" s="1" t="str">
        <f>("125812")</f>
        <v>125812</v>
      </c>
      <c r="C804" s="1" t="str">
        <f>("622454466678")</f>
        <v>622454466678</v>
      </c>
      <c r="D804" s="1" t="s">
        <v>1136</v>
      </c>
      <c r="E804" t="s">
        <v>1137</v>
      </c>
      <c r="F804" s="3">
        <v>183.83</v>
      </c>
      <c r="G804" s="1" t="s">
        <v>13</v>
      </c>
      <c r="H804" s="2">
        <v>44621</v>
      </c>
      <c r="I804" s="1">
        <v>4.9809999999999999</v>
      </c>
      <c r="J804" s="1">
        <v>10.981</v>
      </c>
      <c r="L804" s="1" t="s">
        <v>31</v>
      </c>
    </row>
    <row r="805" spans="1:12" x14ac:dyDescent="0.25">
      <c r="A805" s="1" t="s">
        <v>1318</v>
      </c>
      <c r="B805" s="1" t="str">
        <f>("125814")</f>
        <v>125814</v>
      </c>
      <c r="C805" s="1" t="str">
        <f>("622454466692")</f>
        <v>622454466692</v>
      </c>
      <c r="D805" s="1" t="s">
        <v>1138</v>
      </c>
      <c r="E805" t="s">
        <v>1139</v>
      </c>
      <c r="F805" s="3">
        <v>421.97</v>
      </c>
      <c r="G805" s="1" t="s">
        <v>13</v>
      </c>
      <c r="H805" s="2">
        <v>44621</v>
      </c>
      <c r="I805" s="1">
        <v>9.0350000000000001</v>
      </c>
      <c r="J805" s="1">
        <v>19.919</v>
      </c>
      <c r="L805" s="1" t="s">
        <v>31</v>
      </c>
    </row>
    <row r="806" spans="1:12" x14ac:dyDescent="0.25">
      <c r="A806" s="1" t="s">
        <v>1318</v>
      </c>
      <c r="B806" s="1" t="str">
        <f>("125816")</f>
        <v>125816</v>
      </c>
      <c r="C806" s="1" t="str">
        <f>("622454466715")</f>
        <v>622454466715</v>
      </c>
      <c r="D806" s="1" t="s">
        <v>1140</v>
      </c>
      <c r="E806" t="s">
        <v>1141</v>
      </c>
      <c r="F806" s="3">
        <v>689.96</v>
      </c>
      <c r="G806" s="1" t="s">
        <v>13</v>
      </c>
      <c r="H806" s="2">
        <v>44621</v>
      </c>
      <c r="I806" s="1">
        <v>18.518999999999998</v>
      </c>
      <c r="J806" s="1">
        <v>40.826999999999998</v>
      </c>
      <c r="L806" s="1" t="s">
        <v>31</v>
      </c>
    </row>
    <row r="807" spans="1:12" x14ac:dyDescent="0.25">
      <c r="A807" s="1" t="s">
        <v>1318</v>
      </c>
      <c r="B807" s="1" t="str">
        <f>("125818")</f>
        <v>125818</v>
      </c>
      <c r="C807" s="1" t="str">
        <f>("622454466739")</f>
        <v>622454466739</v>
      </c>
      <c r="D807" s="1" t="s">
        <v>1142</v>
      </c>
      <c r="E807" t="s">
        <v>1143</v>
      </c>
      <c r="F807" s="3">
        <v>756.38</v>
      </c>
      <c r="G807" s="1" t="s">
        <v>13</v>
      </c>
      <c r="H807" s="2">
        <v>44621</v>
      </c>
      <c r="I807" s="1">
        <v>14.371</v>
      </c>
      <c r="J807" s="1">
        <v>31.683</v>
      </c>
      <c r="L807" s="1" t="s">
        <v>31</v>
      </c>
    </row>
    <row r="808" spans="1:12" x14ac:dyDescent="0.25">
      <c r="A808" s="1" t="s">
        <v>1318</v>
      </c>
      <c r="B808" s="1" t="str">
        <f>("125819")</f>
        <v>125819</v>
      </c>
      <c r="C808" s="1" t="str">
        <f>("622454466746")</f>
        <v>622454466746</v>
      </c>
      <c r="D808" s="1" t="s">
        <v>1144</v>
      </c>
      <c r="E808" t="s">
        <v>1145</v>
      </c>
      <c r="F808" s="3">
        <v>836.46</v>
      </c>
      <c r="G808" s="1" t="s">
        <v>13</v>
      </c>
      <c r="H808" s="2">
        <v>44621</v>
      </c>
      <c r="I808" s="1">
        <v>20.216000000000001</v>
      </c>
      <c r="J808" s="1">
        <v>44.569000000000003</v>
      </c>
      <c r="L808" s="1" t="s">
        <v>31</v>
      </c>
    </row>
    <row r="809" spans="1:12" x14ac:dyDescent="0.25">
      <c r="A809" s="1" t="s">
        <v>1318</v>
      </c>
      <c r="B809" s="1" t="str">
        <f>("125820")</f>
        <v>125820</v>
      </c>
      <c r="C809" s="1" t="str">
        <f>("622454466753")</f>
        <v>622454466753</v>
      </c>
      <c r="D809" s="1" t="s">
        <v>1146</v>
      </c>
      <c r="E809" t="s">
        <v>1147</v>
      </c>
      <c r="F809" s="3">
        <v>1492.63</v>
      </c>
      <c r="G809" s="1" t="s">
        <v>13</v>
      </c>
      <c r="H809" s="2">
        <v>44621</v>
      </c>
      <c r="I809" s="1">
        <v>27.297000000000001</v>
      </c>
      <c r="J809" s="1">
        <v>60.18</v>
      </c>
      <c r="L809" s="1" t="s">
        <v>31</v>
      </c>
    </row>
    <row r="810" spans="1:12" x14ac:dyDescent="0.25">
      <c r="A810" s="1" t="s">
        <v>1318</v>
      </c>
      <c r="B810" s="1" t="str">
        <f>("125821")</f>
        <v>125821</v>
      </c>
      <c r="C810" s="1" t="str">
        <f>("622454466760")</f>
        <v>622454466760</v>
      </c>
      <c r="D810" s="1" t="s">
        <v>1148</v>
      </c>
      <c r="E810" t="s">
        <v>1149</v>
      </c>
      <c r="F810" s="3">
        <v>2730.76</v>
      </c>
      <c r="G810" s="1" t="s">
        <v>13</v>
      </c>
      <c r="H810" s="2">
        <v>44621</v>
      </c>
      <c r="I810" s="1">
        <v>38.887</v>
      </c>
      <c r="J810" s="1">
        <v>85.730999999999995</v>
      </c>
      <c r="L810" s="1" t="s">
        <v>31</v>
      </c>
    </row>
    <row r="811" spans="1:12" x14ac:dyDescent="0.25">
      <c r="A811" s="1" t="s">
        <v>1318</v>
      </c>
      <c r="B811" s="1" t="str">
        <f>("125822")</f>
        <v>125822</v>
      </c>
      <c r="C811" s="1" t="str">
        <f>("622454466777")</f>
        <v>622454466777</v>
      </c>
      <c r="D811" s="1" t="s">
        <v>1150</v>
      </c>
      <c r="E811" t="s">
        <v>1151</v>
      </c>
      <c r="F811" s="3">
        <v>3635.02</v>
      </c>
      <c r="G811" s="1" t="s">
        <v>13</v>
      </c>
      <c r="H811" s="2">
        <v>44621</v>
      </c>
      <c r="I811" s="1">
        <v>54.292999999999999</v>
      </c>
      <c r="J811" s="1">
        <v>119.69499999999999</v>
      </c>
      <c r="L811" s="1" t="s">
        <v>31</v>
      </c>
    </row>
    <row r="812" spans="1:12" x14ac:dyDescent="0.25">
      <c r="A812" s="1" t="s">
        <v>1318</v>
      </c>
      <c r="B812" s="1" t="str">
        <f>("035621")</f>
        <v>035621</v>
      </c>
      <c r="C812" s="1" t="str">
        <f>("622454356214")</f>
        <v>622454356214</v>
      </c>
      <c r="D812" s="1">
        <v>450003</v>
      </c>
      <c r="E812" t="s">
        <v>1152</v>
      </c>
      <c r="F812" s="3">
        <v>4.4680851063829792</v>
      </c>
      <c r="G812" s="1" t="s">
        <v>13</v>
      </c>
      <c r="H812" s="2">
        <v>44621</v>
      </c>
      <c r="I812" s="1">
        <v>8.9999999999999993E-3</v>
      </c>
      <c r="J812" s="1">
        <v>0.02</v>
      </c>
      <c r="L812" s="1" t="s">
        <v>14</v>
      </c>
    </row>
    <row r="813" spans="1:12" x14ac:dyDescent="0.25">
      <c r="A813" s="1" t="s">
        <v>1318</v>
      </c>
      <c r="B813" s="1" t="str">
        <f>("035622")</f>
        <v>035622</v>
      </c>
      <c r="C813" s="1" t="str">
        <f>("622454356221")</f>
        <v>622454356221</v>
      </c>
      <c r="D813" s="1">
        <v>450005</v>
      </c>
      <c r="E813" t="s">
        <v>1153</v>
      </c>
      <c r="F813" s="3">
        <v>4.0957446808510642</v>
      </c>
      <c r="G813" s="1" t="s">
        <v>13</v>
      </c>
      <c r="H813" s="2">
        <v>44621</v>
      </c>
      <c r="I813" s="1">
        <v>1.2E-2</v>
      </c>
      <c r="J813" s="1">
        <v>2.5999999999999999E-2</v>
      </c>
      <c r="K813" s="1">
        <v>50</v>
      </c>
      <c r="L813" s="1" t="s">
        <v>14</v>
      </c>
    </row>
    <row r="814" spans="1:12" x14ac:dyDescent="0.25">
      <c r="A814" s="1" t="s">
        <v>1318</v>
      </c>
      <c r="B814" s="1" t="str">
        <f>("035623")</f>
        <v>035623</v>
      </c>
      <c r="C814" s="1" t="str">
        <f>("622454356238")</f>
        <v>622454356238</v>
      </c>
      <c r="D814" s="1">
        <v>450007</v>
      </c>
      <c r="E814" t="s">
        <v>1154</v>
      </c>
      <c r="F814" s="3">
        <v>4.4255319148936172</v>
      </c>
      <c r="G814" s="1" t="s">
        <v>13</v>
      </c>
      <c r="H814" s="2">
        <v>44621</v>
      </c>
      <c r="I814" s="1">
        <v>1.7999999999999999E-2</v>
      </c>
      <c r="J814" s="1">
        <v>0.04</v>
      </c>
      <c r="K814" s="1">
        <v>50</v>
      </c>
      <c r="L814" s="1" t="s">
        <v>14</v>
      </c>
    </row>
    <row r="815" spans="1:12" x14ac:dyDescent="0.25">
      <c r="A815" s="1" t="s">
        <v>1318</v>
      </c>
      <c r="B815" s="1" t="str">
        <f>("035624")</f>
        <v>035624</v>
      </c>
      <c r="C815" s="1" t="str">
        <f>("622454356245")</f>
        <v>622454356245</v>
      </c>
      <c r="D815" s="1">
        <v>450010</v>
      </c>
      <c r="E815" t="s">
        <v>1155</v>
      </c>
      <c r="F815" s="3">
        <v>7.1914893617021276</v>
      </c>
      <c r="G815" s="1" t="s">
        <v>13</v>
      </c>
      <c r="H815" s="2">
        <v>44621</v>
      </c>
      <c r="I815" s="1">
        <v>3.1E-2</v>
      </c>
      <c r="J815" s="1">
        <v>6.8000000000000005E-2</v>
      </c>
      <c r="K815" s="1">
        <v>50</v>
      </c>
      <c r="L815" s="1" t="s">
        <v>14</v>
      </c>
    </row>
    <row r="816" spans="1:12" x14ac:dyDescent="0.25">
      <c r="A816" s="1" t="s">
        <v>1318</v>
      </c>
      <c r="B816" s="1" t="str">
        <f>("035625")</f>
        <v>035625</v>
      </c>
      <c r="C816" s="1" t="str">
        <f>("622454356252")</f>
        <v>622454356252</v>
      </c>
      <c r="D816" s="1">
        <v>450012</v>
      </c>
      <c r="E816" t="s">
        <v>1156</v>
      </c>
      <c r="F816" s="3">
        <v>7.5638297872340434</v>
      </c>
      <c r="G816" s="1" t="s">
        <v>13</v>
      </c>
      <c r="H816" s="2">
        <v>44621</v>
      </c>
      <c r="I816" s="1">
        <v>0.05</v>
      </c>
      <c r="J816" s="1">
        <v>0.11</v>
      </c>
      <c r="K816" s="1">
        <v>25</v>
      </c>
      <c r="L816" s="1" t="s">
        <v>14</v>
      </c>
    </row>
    <row r="817" spans="1:12" x14ac:dyDescent="0.25">
      <c r="A817" s="1" t="s">
        <v>1318</v>
      </c>
      <c r="B817" s="1" t="str">
        <f>("035626")</f>
        <v>035626</v>
      </c>
      <c r="C817" s="1" t="str">
        <f>("622454356269")</f>
        <v>622454356269</v>
      </c>
      <c r="D817" s="1">
        <v>450015</v>
      </c>
      <c r="E817" t="s">
        <v>1157</v>
      </c>
      <c r="F817" s="3">
        <v>8.1170212765957448</v>
      </c>
      <c r="G817" s="1" t="s">
        <v>13</v>
      </c>
      <c r="H817" s="2">
        <v>44621</v>
      </c>
      <c r="I817" s="1">
        <v>6.2E-2</v>
      </c>
      <c r="J817" s="1">
        <v>0.13700000000000001</v>
      </c>
      <c r="K817" s="1">
        <v>25</v>
      </c>
      <c r="L817" s="1" t="s">
        <v>14</v>
      </c>
    </row>
    <row r="818" spans="1:12" x14ac:dyDescent="0.25">
      <c r="A818" s="1" t="s">
        <v>1318</v>
      </c>
      <c r="B818" s="1" t="str">
        <f>("035627")</f>
        <v>035627</v>
      </c>
      <c r="C818" s="1" t="str">
        <f>("622454356276")</f>
        <v>622454356276</v>
      </c>
      <c r="D818" s="1">
        <v>450020</v>
      </c>
      <c r="E818" t="s">
        <v>1158</v>
      </c>
      <c r="F818" s="3">
        <v>10.48936170212766</v>
      </c>
      <c r="G818" s="1" t="s">
        <v>13</v>
      </c>
      <c r="H818" s="2">
        <v>44621</v>
      </c>
      <c r="I818" s="1">
        <v>9.1999999999999998E-2</v>
      </c>
      <c r="J818" s="1">
        <v>0.20300000000000001</v>
      </c>
      <c r="K818" s="1">
        <v>15</v>
      </c>
      <c r="L818" s="1" t="s">
        <v>14</v>
      </c>
    </row>
    <row r="819" spans="1:12" x14ac:dyDescent="0.25">
      <c r="A819" s="1" t="s">
        <v>1318</v>
      </c>
      <c r="B819" s="1" t="str">
        <f>("035628")</f>
        <v>035628</v>
      </c>
      <c r="C819" s="1" t="str">
        <f>("622454356283")</f>
        <v>622454356283</v>
      </c>
      <c r="D819" s="1">
        <v>450025</v>
      </c>
      <c r="E819" t="s">
        <v>1159</v>
      </c>
      <c r="F819" s="3">
        <v>14.574468085106384</v>
      </c>
      <c r="G819" s="1" t="s">
        <v>13</v>
      </c>
      <c r="H819" s="2">
        <v>44621</v>
      </c>
      <c r="I819" s="1">
        <v>0.14099999999999999</v>
      </c>
      <c r="J819" s="1">
        <v>0.311</v>
      </c>
      <c r="K819" s="1">
        <v>10</v>
      </c>
      <c r="L819" s="1" t="s">
        <v>14</v>
      </c>
    </row>
    <row r="820" spans="1:12" x14ac:dyDescent="0.25">
      <c r="A820" s="1" t="s">
        <v>1318</v>
      </c>
      <c r="B820" s="1" t="str">
        <f>("035629")</f>
        <v>035629</v>
      </c>
      <c r="C820" s="1" t="str">
        <f>("622454356290")</f>
        <v>622454356290</v>
      </c>
      <c r="D820" s="1">
        <v>450030</v>
      </c>
      <c r="E820" t="s">
        <v>1160</v>
      </c>
      <c r="F820" s="3">
        <v>22.063829787234042</v>
      </c>
      <c r="G820" s="1" t="s">
        <v>13</v>
      </c>
      <c r="H820" s="2">
        <v>44621</v>
      </c>
      <c r="I820" s="1">
        <v>0.20399999999999999</v>
      </c>
      <c r="J820" s="1">
        <v>0.45</v>
      </c>
      <c r="K820" s="1">
        <v>10</v>
      </c>
      <c r="L820" s="1" t="s">
        <v>14</v>
      </c>
    </row>
    <row r="821" spans="1:12" x14ac:dyDescent="0.25">
      <c r="A821" s="1" t="s">
        <v>1318</v>
      </c>
      <c r="B821" s="1" t="str">
        <f>("035630")</f>
        <v>035630</v>
      </c>
      <c r="C821" s="1" t="str">
        <f>("622454356306")</f>
        <v>622454356306</v>
      </c>
      <c r="D821" s="1">
        <v>450040</v>
      </c>
      <c r="E821" t="s">
        <v>1161</v>
      </c>
      <c r="F821" s="3">
        <v>49.808510638297875</v>
      </c>
      <c r="G821" s="1" t="s">
        <v>13</v>
      </c>
      <c r="H821" s="2">
        <v>44621</v>
      </c>
      <c r="I821" s="1">
        <v>0.32700000000000001</v>
      </c>
      <c r="J821" s="1">
        <v>0.72099999999999997</v>
      </c>
      <c r="K821" s="1">
        <v>6</v>
      </c>
      <c r="L821" s="1" t="s">
        <v>14</v>
      </c>
    </row>
    <row r="822" spans="1:12" x14ac:dyDescent="0.25">
      <c r="A822" s="1" t="s">
        <v>1318</v>
      </c>
      <c r="B822" s="1" t="str">
        <f>("235047")</f>
        <v>235047</v>
      </c>
      <c r="C822" s="1" t="str">
        <f>("622454010673")</f>
        <v>622454010673</v>
      </c>
      <c r="D822" s="1">
        <v>450060</v>
      </c>
      <c r="E822" t="s">
        <v>1162</v>
      </c>
      <c r="F822" s="3">
        <v>146.03191489361703</v>
      </c>
      <c r="G822" s="1" t="s">
        <v>13</v>
      </c>
      <c r="H822" s="2">
        <v>44621</v>
      </c>
      <c r="I822" s="1">
        <v>0.76</v>
      </c>
      <c r="J822" s="1">
        <v>1.6759999999999999</v>
      </c>
      <c r="K822" s="1">
        <v>6</v>
      </c>
      <c r="L822" s="1" t="s">
        <v>14</v>
      </c>
    </row>
    <row r="823" spans="1:12" x14ac:dyDescent="0.25">
      <c r="A823" s="1" t="s">
        <v>1318</v>
      </c>
      <c r="B823" s="1" t="str">
        <f>("235001")</f>
        <v>235001</v>
      </c>
      <c r="C823" s="1" t="str">
        <f>("622454005631")</f>
        <v>622454005631</v>
      </c>
      <c r="D823" s="1">
        <v>497005</v>
      </c>
      <c r="E823" t="s">
        <v>1163</v>
      </c>
      <c r="F823" s="3">
        <v>16.414893617021278</v>
      </c>
      <c r="G823" s="1" t="s">
        <v>13</v>
      </c>
      <c r="H823" s="2">
        <v>44621</v>
      </c>
      <c r="I823" s="1">
        <v>5.6000000000000001E-2</v>
      </c>
      <c r="J823" s="1">
        <v>0.123</v>
      </c>
      <c r="K823" s="1">
        <v>35</v>
      </c>
      <c r="L823" s="1" t="s">
        <v>14</v>
      </c>
    </row>
    <row r="824" spans="1:12" x14ac:dyDescent="0.25">
      <c r="A824" s="1" t="s">
        <v>1318</v>
      </c>
      <c r="B824" s="1" t="str">
        <f>("235002")</f>
        <v>235002</v>
      </c>
      <c r="C824" s="1" t="str">
        <f>("622454005648")</f>
        <v>622454005648</v>
      </c>
      <c r="D824" s="1">
        <v>497007</v>
      </c>
      <c r="E824" t="s">
        <v>1164</v>
      </c>
      <c r="F824" s="3">
        <v>18.744680851063833</v>
      </c>
      <c r="G824" s="1" t="s">
        <v>13</v>
      </c>
      <c r="H824" s="2">
        <v>44621</v>
      </c>
      <c r="I824" s="1">
        <v>9.0999999999999998E-2</v>
      </c>
      <c r="J824" s="1">
        <v>0.20100000000000001</v>
      </c>
      <c r="K824" s="1">
        <v>35</v>
      </c>
      <c r="L824" s="1" t="s">
        <v>14</v>
      </c>
    </row>
    <row r="825" spans="1:12" x14ac:dyDescent="0.25">
      <c r="A825" s="1" t="s">
        <v>1318</v>
      </c>
      <c r="B825" s="1" t="str">
        <f>("235003")</f>
        <v>235003</v>
      </c>
      <c r="C825" s="1" t="str">
        <f>("622454005624")</f>
        <v>622454005624</v>
      </c>
      <c r="D825" s="1">
        <v>497010</v>
      </c>
      <c r="E825" t="s">
        <v>1165</v>
      </c>
      <c r="F825" s="3">
        <v>19.148936170212767</v>
      </c>
      <c r="G825" s="1" t="s">
        <v>13</v>
      </c>
      <c r="H825" s="2">
        <v>44621</v>
      </c>
      <c r="I825" s="1">
        <v>6.7000000000000004E-2</v>
      </c>
      <c r="J825" s="1">
        <v>0.14799999999999999</v>
      </c>
      <c r="K825" s="1">
        <v>25</v>
      </c>
      <c r="L825" s="1" t="s">
        <v>14</v>
      </c>
    </row>
    <row r="826" spans="1:12" x14ac:dyDescent="0.25">
      <c r="A826" s="1" t="s">
        <v>1318</v>
      </c>
      <c r="B826" s="1" t="str">
        <f>("235004")</f>
        <v>235004</v>
      </c>
      <c r="C826" s="1" t="str">
        <f>("622454005365")</f>
        <v>622454005365</v>
      </c>
      <c r="D826" s="1">
        <v>497012</v>
      </c>
      <c r="E826" t="s">
        <v>1166</v>
      </c>
      <c r="F826" s="3">
        <v>61.893617021276597</v>
      </c>
      <c r="G826" s="1" t="s">
        <v>13</v>
      </c>
      <c r="H826" s="2">
        <v>44621</v>
      </c>
      <c r="I826" s="1">
        <v>0.38500000000000001</v>
      </c>
      <c r="J826" s="1">
        <v>0.84899999999999998</v>
      </c>
      <c r="K826" s="1">
        <v>15</v>
      </c>
      <c r="L826" s="1" t="s">
        <v>14</v>
      </c>
    </row>
    <row r="827" spans="1:12" x14ac:dyDescent="0.25">
      <c r="A827" s="1" t="s">
        <v>1318</v>
      </c>
      <c r="B827" s="1" t="str">
        <f>("235005")</f>
        <v>235005</v>
      </c>
      <c r="C827" s="1" t="str">
        <f>("622454005600")</f>
        <v>622454005600</v>
      </c>
      <c r="D827" s="1">
        <v>497015</v>
      </c>
      <c r="E827" t="s">
        <v>1167</v>
      </c>
      <c r="F827" s="3">
        <v>64.521276595744681</v>
      </c>
      <c r="G827" s="1" t="s">
        <v>13</v>
      </c>
      <c r="H827" s="2">
        <v>44621</v>
      </c>
      <c r="I827" s="1">
        <v>0.27400000000000002</v>
      </c>
      <c r="J827" s="1">
        <v>0.60399999999999998</v>
      </c>
      <c r="K827" s="1">
        <v>15</v>
      </c>
      <c r="L827" s="1" t="s">
        <v>14</v>
      </c>
    </row>
    <row r="828" spans="1:12" x14ac:dyDescent="0.25">
      <c r="A828" s="1" t="s">
        <v>1318</v>
      </c>
      <c r="B828" s="1" t="str">
        <f>("235006")</f>
        <v>235006</v>
      </c>
      <c r="C828" s="1" t="str">
        <f>("622454005617")</f>
        <v>622454005617</v>
      </c>
      <c r="D828" s="1">
        <v>497020</v>
      </c>
      <c r="E828" t="s">
        <v>1168</v>
      </c>
      <c r="F828" s="3">
        <v>87</v>
      </c>
      <c r="G828" s="1" t="s">
        <v>13</v>
      </c>
      <c r="H828" s="2">
        <v>44621</v>
      </c>
      <c r="I828" s="1">
        <v>0.496</v>
      </c>
      <c r="J828" s="1">
        <v>1.093</v>
      </c>
      <c r="K828" s="1">
        <v>5</v>
      </c>
      <c r="L828" s="1" t="s">
        <v>14</v>
      </c>
    </row>
    <row r="829" spans="1:12" x14ac:dyDescent="0.25">
      <c r="A829" s="1" t="s">
        <v>1318</v>
      </c>
      <c r="B829" s="1" t="str">
        <f>("035900")</f>
        <v>035900</v>
      </c>
      <c r="C829" s="1" t="str">
        <f>("622454359000")</f>
        <v>622454359000</v>
      </c>
      <c r="D829" s="1">
        <v>457005</v>
      </c>
      <c r="E829" t="s">
        <v>1169</v>
      </c>
      <c r="F829" s="3">
        <v>14.893617021276597</v>
      </c>
      <c r="G829" s="1" t="s">
        <v>13</v>
      </c>
      <c r="H829" s="2">
        <v>44621</v>
      </c>
      <c r="I829" s="1">
        <v>5.6000000000000001E-2</v>
      </c>
      <c r="J829" s="1">
        <v>0.123</v>
      </c>
      <c r="K829" s="1">
        <v>35</v>
      </c>
      <c r="L829" s="1" t="s">
        <v>14</v>
      </c>
    </row>
    <row r="830" spans="1:12" x14ac:dyDescent="0.25">
      <c r="A830" s="1" t="s">
        <v>1318</v>
      </c>
      <c r="B830" s="1" t="str">
        <f>("035901")</f>
        <v>035901</v>
      </c>
      <c r="C830" s="1" t="str">
        <f>("622454359017")</f>
        <v>622454359017</v>
      </c>
      <c r="D830" s="1">
        <v>457007</v>
      </c>
      <c r="E830" t="s">
        <v>1170</v>
      </c>
      <c r="F830" s="3">
        <v>16.936170212765958</v>
      </c>
      <c r="G830" s="1" t="s">
        <v>13</v>
      </c>
      <c r="H830" s="2">
        <v>44621</v>
      </c>
      <c r="I830" s="1">
        <v>6.9000000000000006E-2</v>
      </c>
      <c r="J830" s="1">
        <v>0.152</v>
      </c>
      <c r="K830" s="1">
        <v>35</v>
      </c>
      <c r="L830" s="1" t="s">
        <v>14</v>
      </c>
    </row>
    <row r="831" spans="1:12" x14ac:dyDescent="0.25">
      <c r="A831" s="1" t="s">
        <v>1318</v>
      </c>
      <c r="B831" s="1" t="str">
        <f>("035902")</f>
        <v>035902</v>
      </c>
      <c r="C831" s="1" t="str">
        <f>("622454359024")</f>
        <v>622454359024</v>
      </c>
      <c r="D831" s="1">
        <v>457010</v>
      </c>
      <c r="E831" t="s">
        <v>1171</v>
      </c>
      <c r="F831" s="3">
        <v>17.468085106382983</v>
      </c>
      <c r="G831" s="1" t="s">
        <v>13</v>
      </c>
      <c r="H831" s="2">
        <v>44621</v>
      </c>
      <c r="I831" s="1">
        <v>8.5999999999999993E-2</v>
      </c>
      <c r="J831" s="1">
        <v>0.19</v>
      </c>
      <c r="K831" s="1">
        <v>25</v>
      </c>
      <c r="L831" s="1" t="s">
        <v>14</v>
      </c>
    </row>
    <row r="832" spans="1:12" x14ac:dyDescent="0.25">
      <c r="A832" s="1" t="s">
        <v>1318</v>
      </c>
      <c r="B832" s="1" t="str">
        <f>("035903")</f>
        <v>035903</v>
      </c>
      <c r="C832" s="1" t="str">
        <f>("622454359031")</f>
        <v>622454359031</v>
      </c>
      <c r="D832" s="1">
        <v>457012</v>
      </c>
      <c r="E832" t="s">
        <v>1172</v>
      </c>
      <c r="F832" s="3">
        <v>56.287234042553195</v>
      </c>
      <c r="G832" s="1" t="s">
        <v>13</v>
      </c>
      <c r="H832" s="2">
        <v>44621</v>
      </c>
      <c r="I832" s="1">
        <v>0.23200000000000001</v>
      </c>
      <c r="J832" s="1">
        <v>0.51100000000000001</v>
      </c>
      <c r="K832" s="1">
        <v>15</v>
      </c>
      <c r="L832" s="1" t="s">
        <v>14</v>
      </c>
    </row>
    <row r="833" spans="1:12" x14ac:dyDescent="0.25">
      <c r="A833" s="1" t="s">
        <v>1318</v>
      </c>
      <c r="B833" s="1" t="str">
        <f>("035904")</f>
        <v>035904</v>
      </c>
      <c r="C833" s="1" t="str">
        <f>("622454359048")</f>
        <v>622454359048</v>
      </c>
      <c r="D833" s="1">
        <v>457015</v>
      </c>
      <c r="E833" t="s">
        <v>1173</v>
      </c>
      <c r="F833" s="3">
        <v>58.595744680851062</v>
      </c>
      <c r="G833" s="1" t="s">
        <v>13</v>
      </c>
      <c r="H833" s="2">
        <v>44621</v>
      </c>
      <c r="I833" s="1">
        <v>0.27500000000000002</v>
      </c>
      <c r="J833" s="1">
        <v>0.60599999999999998</v>
      </c>
      <c r="K833" s="1">
        <v>15</v>
      </c>
      <c r="L833" s="1" t="s">
        <v>14</v>
      </c>
    </row>
    <row r="834" spans="1:12" x14ac:dyDescent="0.25">
      <c r="A834" s="1" t="s">
        <v>1318</v>
      </c>
      <c r="B834" s="1" t="str">
        <f>("035905")</f>
        <v>035905</v>
      </c>
      <c r="C834" s="1" t="str">
        <f>("622454359055")</f>
        <v>622454359055</v>
      </c>
      <c r="D834" s="1">
        <v>457020</v>
      </c>
      <c r="E834" t="s">
        <v>1174</v>
      </c>
      <c r="F834" s="3">
        <v>79.074468085106389</v>
      </c>
      <c r="G834" s="1" t="s">
        <v>13</v>
      </c>
      <c r="H834" s="2">
        <v>44621</v>
      </c>
      <c r="I834" s="1">
        <v>0.497</v>
      </c>
      <c r="J834" s="1">
        <v>1.0960000000000001</v>
      </c>
      <c r="K834" s="1">
        <v>5</v>
      </c>
      <c r="L834" s="1" t="s">
        <v>14</v>
      </c>
    </row>
    <row r="835" spans="1:12" x14ac:dyDescent="0.25">
      <c r="A835" s="1" t="s">
        <v>1318</v>
      </c>
      <c r="B835" s="1" t="str">
        <f>("035906")</f>
        <v>035906</v>
      </c>
      <c r="C835" s="1" t="str">
        <f>("622454359062")</f>
        <v>622454359062</v>
      </c>
      <c r="D835" s="1">
        <v>458005</v>
      </c>
      <c r="E835" t="s">
        <v>1175</v>
      </c>
      <c r="F835" s="3">
        <v>16.702127659574469</v>
      </c>
      <c r="G835" s="1" t="s">
        <v>13</v>
      </c>
      <c r="H835" s="2">
        <v>44621</v>
      </c>
      <c r="I835" s="1">
        <v>6.4000000000000001E-2</v>
      </c>
      <c r="J835" s="1">
        <v>0.14099999999999999</v>
      </c>
      <c r="K835" s="1">
        <v>20</v>
      </c>
      <c r="L835" s="1" t="s">
        <v>14</v>
      </c>
    </row>
    <row r="836" spans="1:12" x14ac:dyDescent="0.25">
      <c r="A836" s="1" t="s">
        <v>1318</v>
      </c>
      <c r="B836" s="1" t="str">
        <f>("035907")</f>
        <v>035907</v>
      </c>
      <c r="C836" s="1" t="str">
        <f>("622454359079")</f>
        <v>622454359079</v>
      </c>
      <c r="D836" s="1">
        <v>458007</v>
      </c>
      <c r="E836" t="s">
        <v>1176</v>
      </c>
      <c r="F836" s="3">
        <v>27.882978723404257</v>
      </c>
      <c r="G836" s="1" t="s">
        <v>13</v>
      </c>
      <c r="H836" s="2">
        <v>44621</v>
      </c>
      <c r="I836" s="1">
        <v>7.6999999999999999E-2</v>
      </c>
      <c r="J836" s="1">
        <v>0.17</v>
      </c>
      <c r="K836" s="1">
        <v>15</v>
      </c>
      <c r="L836" s="1" t="s">
        <v>14</v>
      </c>
    </row>
    <row r="837" spans="1:12" x14ac:dyDescent="0.25">
      <c r="A837" s="1" t="s">
        <v>1318</v>
      </c>
      <c r="B837" s="1" t="str">
        <f>("035908")</f>
        <v>035908</v>
      </c>
      <c r="C837" s="1" t="str">
        <f>("622454359086")</f>
        <v>622454359086</v>
      </c>
      <c r="D837" s="1">
        <v>458010</v>
      </c>
      <c r="E837" t="s">
        <v>1177</v>
      </c>
      <c r="F837" s="3">
        <v>38.10638297872341</v>
      </c>
      <c r="G837" s="1" t="s">
        <v>13</v>
      </c>
      <c r="H837" s="2">
        <v>44621</v>
      </c>
      <c r="I837" s="1">
        <v>0.122</v>
      </c>
      <c r="J837" s="1">
        <v>0.26900000000000002</v>
      </c>
      <c r="K837" s="1">
        <v>10</v>
      </c>
      <c r="L837" s="1" t="s">
        <v>14</v>
      </c>
    </row>
    <row r="838" spans="1:12" x14ac:dyDescent="0.25">
      <c r="A838" s="1" t="s">
        <v>1318</v>
      </c>
      <c r="B838" s="1" t="str">
        <f>("035909")</f>
        <v>035909</v>
      </c>
      <c r="C838" s="1" t="str">
        <f>("622454359093")</f>
        <v>622454359093</v>
      </c>
      <c r="D838" s="1">
        <v>458012</v>
      </c>
      <c r="E838" t="s">
        <v>1178</v>
      </c>
      <c r="F838" s="3">
        <v>65.40425531914893</v>
      </c>
      <c r="G838" s="1" t="s">
        <v>13</v>
      </c>
      <c r="H838" s="2">
        <v>44621</v>
      </c>
      <c r="I838" s="1">
        <v>0.17199999999999999</v>
      </c>
      <c r="J838" s="1">
        <v>0.379</v>
      </c>
      <c r="K838" s="1">
        <v>5</v>
      </c>
      <c r="L838" s="1" t="s">
        <v>14</v>
      </c>
    </row>
    <row r="839" spans="1:12" x14ac:dyDescent="0.25">
      <c r="A839" s="1" t="s">
        <v>1318</v>
      </c>
      <c r="B839" s="1" t="str">
        <f>("035910")</f>
        <v>035910</v>
      </c>
      <c r="C839" s="1" t="str">
        <f>("622454359109")</f>
        <v>622454359109</v>
      </c>
      <c r="D839" s="1">
        <v>458015</v>
      </c>
      <c r="E839" t="s">
        <v>1179</v>
      </c>
      <c r="F839" s="3">
        <v>66.872340425531917</v>
      </c>
      <c r="G839" s="1" t="s">
        <v>13</v>
      </c>
      <c r="H839" s="2">
        <v>44621</v>
      </c>
      <c r="I839" s="1">
        <v>0.20399999999999999</v>
      </c>
      <c r="J839" s="1">
        <v>0.45</v>
      </c>
      <c r="K839" s="1">
        <v>5</v>
      </c>
      <c r="L839" s="1" t="s">
        <v>14</v>
      </c>
    </row>
    <row r="840" spans="1:12" x14ac:dyDescent="0.25">
      <c r="A840" s="1" t="s">
        <v>1318</v>
      </c>
      <c r="B840" s="1" t="str">
        <f>("035911")</f>
        <v>035911</v>
      </c>
      <c r="C840" s="1" t="str">
        <f>("622454359116")</f>
        <v>622454359116</v>
      </c>
      <c r="D840" s="1">
        <v>458020</v>
      </c>
      <c r="E840" t="s">
        <v>1180</v>
      </c>
      <c r="F840" s="3">
        <v>82.053191489361708</v>
      </c>
      <c r="G840" s="1" t="s">
        <v>13</v>
      </c>
      <c r="H840" s="2">
        <v>44621</v>
      </c>
      <c r="I840" s="1">
        <v>0.26800000000000002</v>
      </c>
      <c r="J840" s="1">
        <v>0.59099999999999997</v>
      </c>
      <c r="K840" s="1">
        <v>5</v>
      </c>
      <c r="L840" s="1" t="s">
        <v>14</v>
      </c>
    </row>
    <row r="841" spans="1:12" x14ac:dyDescent="0.25">
      <c r="A841" s="1" t="s">
        <v>1318</v>
      </c>
      <c r="B841" s="1" t="str">
        <f>("035912")</f>
        <v>035912</v>
      </c>
      <c r="C841" s="1" t="str">
        <f>("622454359123")</f>
        <v>622454359123</v>
      </c>
      <c r="D841" s="1">
        <v>475015</v>
      </c>
      <c r="E841" t="s">
        <v>1181</v>
      </c>
      <c r="F841" s="3">
        <v>28.244680851063833</v>
      </c>
      <c r="G841" s="1" t="s">
        <v>13</v>
      </c>
      <c r="H841" s="2">
        <v>44621</v>
      </c>
      <c r="I841" s="1">
        <v>0.40500000000000003</v>
      </c>
      <c r="J841" s="1">
        <v>0.89300000000000002</v>
      </c>
      <c r="K841" s="1">
        <v>20</v>
      </c>
      <c r="L841" s="1" t="s">
        <v>14</v>
      </c>
    </row>
    <row r="842" spans="1:12" x14ac:dyDescent="0.25">
      <c r="A842" s="1" t="s">
        <v>1318</v>
      </c>
      <c r="B842" s="1" t="str">
        <f>("035913")</f>
        <v>035913</v>
      </c>
      <c r="C842" s="1" t="str">
        <f>("622454359130")</f>
        <v>622454359130</v>
      </c>
      <c r="D842" s="1">
        <v>475020</v>
      </c>
      <c r="E842" t="s">
        <v>1182</v>
      </c>
      <c r="F842" s="3">
        <v>84.765957446808528</v>
      </c>
      <c r="G842" s="1" t="s">
        <v>13</v>
      </c>
      <c r="H842" s="2">
        <v>44621</v>
      </c>
      <c r="I842" s="1">
        <v>0.63500000000000001</v>
      </c>
      <c r="J842" s="1">
        <v>1.4</v>
      </c>
      <c r="K842" s="1">
        <v>10</v>
      </c>
      <c r="L842" s="1" t="s">
        <v>14</v>
      </c>
    </row>
    <row r="843" spans="1:12" x14ac:dyDescent="0.25">
      <c r="A843" s="1" t="s">
        <v>1318</v>
      </c>
      <c r="B843" s="1" t="str">
        <f>("035915")</f>
        <v>035915</v>
      </c>
      <c r="C843" s="1" t="str">
        <f>("622454359154")</f>
        <v>622454359154</v>
      </c>
      <c r="D843" s="1">
        <v>475030</v>
      </c>
      <c r="E843" t="s">
        <v>1183</v>
      </c>
      <c r="F843" s="3">
        <v>142.78723404255319</v>
      </c>
      <c r="G843" s="1" t="s">
        <v>13</v>
      </c>
      <c r="H843" s="2">
        <v>44621</v>
      </c>
      <c r="I843" s="1">
        <v>1.1930000000000001</v>
      </c>
      <c r="J843" s="1">
        <v>2.63</v>
      </c>
      <c r="K843" s="1">
        <v>6</v>
      </c>
      <c r="L843" s="1" t="s">
        <v>14</v>
      </c>
    </row>
    <row r="844" spans="1:12" x14ac:dyDescent="0.25">
      <c r="A844" s="1" t="s">
        <v>1318</v>
      </c>
      <c r="B844" s="1" t="str">
        <f>("035916")</f>
        <v>035916</v>
      </c>
      <c r="C844" s="1" t="str">
        <f>("622454359161")</f>
        <v>622454359161</v>
      </c>
      <c r="D844" s="1">
        <v>475040</v>
      </c>
      <c r="E844" t="s">
        <v>1184</v>
      </c>
      <c r="F844" s="3">
        <v>269.28723404255322</v>
      </c>
      <c r="G844" s="1" t="s">
        <v>13</v>
      </c>
      <c r="H844" s="2">
        <v>44621</v>
      </c>
      <c r="I844" s="1">
        <v>2.0680000000000001</v>
      </c>
      <c r="J844" s="1">
        <v>4.5590000000000002</v>
      </c>
      <c r="K844" s="1">
        <v>4</v>
      </c>
      <c r="L844" s="1" t="s">
        <v>14</v>
      </c>
    </row>
    <row r="845" spans="1:12" x14ac:dyDescent="0.25">
      <c r="A845" s="1" t="s">
        <v>1318</v>
      </c>
      <c r="B845" s="1" t="str">
        <f>("035917")</f>
        <v>035917</v>
      </c>
      <c r="C845" s="1" t="str">
        <f>("622454359178")</f>
        <v>622454359178</v>
      </c>
      <c r="D845" s="1">
        <v>475060</v>
      </c>
      <c r="E845" t="s">
        <v>1185</v>
      </c>
      <c r="F845" s="3">
        <v>569.76595744680856</v>
      </c>
      <c r="G845" s="1" t="s">
        <v>13</v>
      </c>
      <c r="H845" s="2">
        <v>44621</v>
      </c>
      <c r="I845" s="1">
        <v>7.43</v>
      </c>
      <c r="J845" s="1">
        <v>16.38</v>
      </c>
      <c r="K845" s="1">
        <v>3</v>
      </c>
      <c r="L845" s="1" t="s">
        <v>14</v>
      </c>
    </row>
    <row r="846" spans="1:12" x14ac:dyDescent="0.25">
      <c r="A846" s="1" t="s">
        <v>1318</v>
      </c>
      <c r="B846" s="1" t="str">
        <f>("035922")</f>
        <v>035922</v>
      </c>
      <c r="C846" s="1" t="str">
        <f>("622454359222")</f>
        <v>622454359222</v>
      </c>
      <c r="D846" s="1">
        <v>475532</v>
      </c>
      <c r="E846" t="s">
        <v>1186</v>
      </c>
      <c r="F846" s="3">
        <v>732.55319148936178</v>
      </c>
      <c r="G846" s="1" t="s">
        <v>13</v>
      </c>
      <c r="H846" s="2">
        <v>44621</v>
      </c>
      <c r="I846" s="1">
        <v>3.722</v>
      </c>
      <c r="J846" s="1">
        <v>8.2059999999999995</v>
      </c>
      <c r="K846" s="1">
        <v>5</v>
      </c>
      <c r="L846" s="1" t="s">
        <v>14</v>
      </c>
    </row>
    <row r="847" spans="1:12" x14ac:dyDescent="0.25">
      <c r="A847" s="1" t="s">
        <v>1318</v>
      </c>
      <c r="B847" s="1" t="str">
        <f>("135866")</f>
        <v>135866</v>
      </c>
      <c r="C847" s="1" t="str">
        <f>("622454239814")</f>
        <v>622454239814</v>
      </c>
      <c r="D847" s="1">
        <v>475080</v>
      </c>
      <c r="E847" t="s">
        <v>1187</v>
      </c>
      <c r="F847" s="3">
        <v>916.436170212766</v>
      </c>
      <c r="G847" s="1" t="s">
        <v>13</v>
      </c>
      <c r="H847" s="2">
        <v>44621</v>
      </c>
      <c r="I847" s="1">
        <v>11</v>
      </c>
      <c r="J847" s="1">
        <v>24.251000000000001</v>
      </c>
      <c r="K847" s="1">
        <v>1</v>
      </c>
      <c r="L847" s="1" t="s">
        <v>14</v>
      </c>
    </row>
    <row r="848" spans="1:12" x14ac:dyDescent="0.25">
      <c r="A848" s="1" t="s">
        <v>1318</v>
      </c>
      <c r="B848" s="1" t="str">
        <f>("125846")</f>
        <v>125846</v>
      </c>
      <c r="C848" s="1" t="str">
        <f>("622454467033")</f>
        <v>622454467033</v>
      </c>
      <c r="D848" s="1" t="s">
        <v>1188</v>
      </c>
      <c r="E848" t="s">
        <v>1189</v>
      </c>
      <c r="F848" s="3">
        <v>571.74</v>
      </c>
      <c r="G848" s="1" t="s">
        <v>13</v>
      </c>
      <c r="H848" s="2">
        <v>44621</v>
      </c>
      <c r="I848" s="1">
        <v>12.29</v>
      </c>
      <c r="J848" s="1">
        <v>27.094999999999999</v>
      </c>
      <c r="L848" s="1" t="s">
        <v>31</v>
      </c>
    </row>
    <row r="849" spans="1:12" x14ac:dyDescent="0.25">
      <c r="A849" s="1" t="s">
        <v>1318</v>
      </c>
      <c r="B849" s="1" t="str">
        <f>("125847")</f>
        <v>125847</v>
      </c>
      <c r="C849" s="1" t="str">
        <f>("622454467057")</f>
        <v>622454467057</v>
      </c>
      <c r="D849" s="1" t="s">
        <v>1190</v>
      </c>
      <c r="E849" t="s">
        <v>1191</v>
      </c>
      <c r="F849" s="3">
        <v>1762.87</v>
      </c>
      <c r="G849" s="1" t="s">
        <v>13</v>
      </c>
      <c r="H849" s="2">
        <v>44621</v>
      </c>
      <c r="I849" s="1">
        <v>17.716000000000001</v>
      </c>
      <c r="J849" s="1">
        <v>39.057000000000002</v>
      </c>
      <c r="L849" s="1" t="s">
        <v>31</v>
      </c>
    </row>
    <row r="850" spans="1:12" x14ac:dyDescent="0.25">
      <c r="A850" s="1" t="s">
        <v>1318</v>
      </c>
      <c r="B850" s="1" t="str">
        <f>("125848")</f>
        <v>125848</v>
      </c>
      <c r="C850" s="1" t="str">
        <f>("622454467101")</f>
        <v>622454467101</v>
      </c>
      <c r="D850" s="1" t="s">
        <v>1192</v>
      </c>
      <c r="E850" t="s">
        <v>1193</v>
      </c>
      <c r="F850" s="3">
        <v>2396.4699999999998</v>
      </c>
      <c r="G850" s="1" t="s">
        <v>13</v>
      </c>
      <c r="H850" s="2">
        <v>44621</v>
      </c>
      <c r="I850" s="1">
        <v>30.715</v>
      </c>
      <c r="J850" s="1">
        <v>67.715000000000003</v>
      </c>
      <c r="L850" s="1" t="s">
        <v>31</v>
      </c>
    </row>
    <row r="851" spans="1:12" x14ac:dyDescent="0.25">
      <c r="A851" s="1" t="s">
        <v>1318</v>
      </c>
      <c r="B851" s="1" t="str">
        <f>("125849")</f>
        <v>125849</v>
      </c>
      <c r="C851" s="1" t="str">
        <f>("622454467125")</f>
        <v>622454467125</v>
      </c>
      <c r="D851" s="1" t="s">
        <v>1194</v>
      </c>
      <c r="E851" t="s">
        <v>1195</v>
      </c>
      <c r="F851" s="3">
        <v>3395.18</v>
      </c>
      <c r="G851" s="1" t="s">
        <v>13</v>
      </c>
      <c r="H851" s="2">
        <v>44621</v>
      </c>
      <c r="I851" s="1">
        <v>36.465000000000003</v>
      </c>
      <c r="J851" s="1">
        <v>80.391000000000005</v>
      </c>
      <c r="L851" s="1" t="s">
        <v>31</v>
      </c>
    </row>
    <row r="852" spans="1:12" x14ac:dyDescent="0.25">
      <c r="A852" s="1" t="s">
        <v>1318</v>
      </c>
      <c r="B852" s="1" t="str">
        <f>("125850")</f>
        <v>125850</v>
      </c>
      <c r="C852" s="1" t="str">
        <f>("622454467149")</f>
        <v>622454467149</v>
      </c>
      <c r="D852" s="1" t="s">
        <v>1196</v>
      </c>
      <c r="E852" t="s">
        <v>1197</v>
      </c>
      <c r="F852" s="3">
        <v>4388.67</v>
      </c>
      <c r="G852" s="1" t="s">
        <v>13</v>
      </c>
      <c r="H852" s="2">
        <v>44621</v>
      </c>
      <c r="I852" s="1">
        <v>71.489999999999995</v>
      </c>
      <c r="J852" s="1">
        <v>157.608</v>
      </c>
      <c r="L852" s="1" t="s">
        <v>31</v>
      </c>
    </row>
    <row r="853" spans="1:12" x14ac:dyDescent="0.25">
      <c r="A853" s="1" t="s">
        <v>1318</v>
      </c>
      <c r="B853" s="1" t="str">
        <f>("125851")</f>
        <v>125851</v>
      </c>
      <c r="C853" s="1" t="str">
        <f>("622454467156")</f>
        <v>622454467156</v>
      </c>
      <c r="D853" s="1" t="s">
        <v>1198</v>
      </c>
      <c r="E853" t="s">
        <v>1199</v>
      </c>
      <c r="F853" s="3">
        <v>5619.04</v>
      </c>
      <c r="G853" s="1" t="s">
        <v>13</v>
      </c>
      <c r="H853" s="2">
        <v>44621</v>
      </c>
      <c r="I853" s="1">
        <v>90.867999999999995</v>
      </c>
      <c r="J853" s="1">
        <v>200.32900000000001</v>
      </c>
      <c r="L853" s="1" t="s">
        <v>31</v>
      </c>
    </row>
    <row r="854" spans="1:12" x14ac:dyDescent="0.25">
      <c r="A854" s="1" t="s">
        <v>1318</v>
      </c>
      <c r="B854" s="1" t="str">
        <f>("125852")</f>
        <v>125852</v>
      </c>
      <c r="C854" s="1" t="str">
        <f>("622454467163")</f>
        <v>622454467163</v>
      </c>
      <c r="D854" s="1" t="s">
        <v>1200</v>
      </c>
      <c r="E854" t="s">
        <v>1201</v>
      </c>
      <c r="F854" s="3">
        <v>6311.13</v>
      </c>
      <c r="G854" s="1" t="s">
        <v>13</v>
      </c>
      <c r="H854" s="2">
        <v>44621</v>
      </c>
      <c r="I854" s="1">
        <v>106.355</v>
      </c>
      <c r="J854" s="1">
        <v>234.47200000000001</v>
      </c>
      <c r="L854" s="1" t="s">
        <v>31</v>
      </c>
    </row>
    <row r="855" spans="1:12" x14ac:dyDescent="0.25">
      <c r="A855" s="1" t="s">
        <v>1318</v>
      </c>
      <c r="B855" s="1" t="str">
        <f>("125853")</f>
        <v>125853</v>
      </c>
      <c r="C855" s="1" t="str">
        <f>("622454467170")</f>
        <v>622454467170</v>
      </c>
      <c r="D855" s="1" t="s">
        <v>1202</v>
      </c>
      <c r="E855" t="s">
        <v>1203</v>
      </c>
      <c r="F855" s="3">
        <v>8262.1299999999992</v>
      </c>
      <c r="G855" s="1" t="s">
        <v>13</v>
      </c>
      <c r="H855" s="2">
        <v>44621</v>
      </c>
      <c r="I855" s="1">
        <v>160.827</v>
      </c>
      <c r="J855" s="1">
        <v>354.56200000000001</v>
      </c>
      <c r="L855" s="1" t="s">
        <v>31</v>
      </c>
    </row>
    <row r="856" spans="1:12" x14ac:dyDescent="0.25">
      <c r="A856" s="1" t="s">
        <v>1318</v>
      </c>
      <c r="B856" s="1" t="str">
        <f>("125855")</f>
        <v>125855</v>
      </c>
      <c r="C856" s="1" t="str">
        <f>("622454467194")</f>
        <v>622454467194</v>
      </c>
      <c r="D856" s="1" t="s">
        <v>1204</v>
      </c>
      <c r="E856" t="s">
        <v>1205</v>
      </c>
      <c r="F856" s="3">
        <v>975.46</v>
      </c>
      <c r="G856" s="1" t="s">
        <v>13</v>
      </c>
      <c r="H856" s="2">
        <v>44621</v>
      </c>
      <c r="I856" s="1">
        <v>5.5129999999999999</v>
      </c>
      <c r="J856" s="1">
        <v>12.154</v>
      </c>
      <c r="K856" s="1">
        <v>2</v>
      </c>
      <c r="L856" s="1" t="s">
        <v>31</v>
      </c>
    </row>
    <row r="857" spans="1:12" x14ac:dyDescent="0.25">
      <c r="A857" s="1" t="s">
        <v>1318</v>
      </c>
      <c r="B857" s="1" t="str">
        <f>("125856")</f>
        <v>125856</v>
      </c>
      <c r="C857" s="1" t="str">
        <f>("622454467200")</f>
        <v>622454467200</v>
      </c>
      <c r="D857" s="1" t="s">
        <v>1206</v>
      </c>
      <c r="E857" t="s">
        <v>1207</v>
      </c>
      <c r="F857" s="3">
        <v>1005.05</v>
      </c>
      <c r="G857" s="1" t="s">
        <v>13</v>
      </c>
      <c r="H857" s="2">
        <v>44621</v>
      </c>
      <c r="I857" s="1">
        <v>7.8109999999999999</v>
      </c>
      <c r="J857" s="1">
        <v>17.22</v>
      </c>
      <c r="K857" s="1">
        <v>2</v>
      </c>
      <c r="L857" s="1" t="s">
        <v>31</v>
      </c>
    </row>
    <row r="858" spans="1:12" x14ac:dyDescent="0.25">
      <c r="A858" s="1" t="s">
        <v>1318</v>
      </c>
      <c r="B858" s="1" t="str">
        <f>("125857")</f>
        <v>125857</v>
      </c>
      <c r="C858" s="1" t="str">
        <f>("622454467217")</f>
        <v>622454467217</v>
      </c>
      <c r="D858" s="1" t="s">
        <v>1208</v>
      </c>
      <c r="E858" t="s">
        <v>1209</v>
      </c>
      <c r="F858" s="3">
        <v>1186.4100000000001</v>
      </c>
      <c r="G858" s="1" t="s">
        <v>13</v>
      </c>
      <c r="H858" s="2">
        <v>44621</v>
      </c>
      <c r="I858" s="1">
        <v>8.0050000000000008</v>
      </c>
      <c r="J858" s="1">
        <v>17.648</v>
      </c>
      <c r="L858" s="1" t="s">
        <v>31</v>
      </c>
    </row>
    <row r="859" spans="1:12" x14ac:dyDescent="0.25">
      <c r="A859" s="1" t="s">
        <v>1318</v>
      </c>
      <c r="B859" s="1" t="str">
        <f>("125858")</f>
        <v>125858</v>
      </c>
      <c r="C859" s="1" t="str">
        <f>("622454467224")</f>
        <v>622454467224</v>
      </c>
      <c r="D859" s="1" t="s">
        <v>1210</v>
      </c>
      <c r="E859" t="s">
        <v>1211</v>
      </c>
      <c r="F859" s="3">
        <v>1310.03</v>
      </c>
      <c r="G859" s="1" t="s">
        <v>13</v>
      </c>
      <c r="H859" s="2">
        <v>44621</v>
      </c>
      <c r="I859" s="1">
        <v>10.084</v>
      </c>
      <c r="J859" s="1">
        <v>22.231000000000002</v>
      </c>
      <c r="L859" s="1" t="s">
        <v>31</v>
      </c>
    </row>
    <row r="860" spans="1:12" x14ac:dyDescent="0.25">
      <c r="A860" s="1" t="s">
        <v>1318</v>
      </c>
      <c r="B860" s="1" t="str">
        <f>("125859")</f>
        <v>125859</v>
      </c>
      <c r="C860" s="1" t="str">
        <f>("622454467231")</f>
        <v>622454467231</v>
      </c>
      <c r="D860" s="1" t="s">
        <v>1212</v>
      </c>
      <c r="E860" t="s">
        <v>1213</v>
      </c>
      <c r="F860" s="3">
        <v>1401.74</v>
      </c>
      <c r="G860" s="1" t="s">
        <v>13</v>
      </c>
      <c r="H860" s="2">
        <v>44621</v>
      </c>
      <c r="I860" s="1">
        <v>13.635999999999999</v>
      </c>
      <c r="J860" s="1">
        <v>30.062000000000001</v>
      </c>
      <c r="L860" s="1" t="s">
        <v>31</v>
      </c>
    </row>
    <row r="861" spans="1:12" x14ac:dyDescent="0.25">
      <c r="A861" s="1" t="s">
        <v>1318</v>
      </c>
      <c r="B861" s="1" t="str">
        <f>("125860")</f>
        <v>125860</v>
      </c>
      <c r="C861" s="1" t="str">
        <f>("622454467248")</f>
        <v>622454467248</v>
      </c>
      <c r="D861" s="1" t="s">
        <v>1214</v>
      </c>
      <c r="E861" t="s">
        <v>1215</v>
      </c>
      <c r="F861" s="3">
        <v>1521.88</v>
      </c>
      <c r="G861" s="1" t="s">
        <v>13</v>
      </c>
      <c r="H861" s="2">
        <v>44621</v>
      </c>
      <c r="I861" s="1">
        <v>11.266</v>
      </c>
      <c r="J861" s="1">
        <v>24.837</v>
      </c>
      <c r="L861" s="1" t="s">
        <v>31</v>
      </c>
    </row>
    <row r="862" spans="1:12" x14ac:dyDescent="0.25">
      <c r="A862" s="1" t="s">
        <v>1318</v>
      </c>
      <c r="B862" s="1" t="str">
        <f>("125861")</f>
        <v>125861</v>
      </c>
      <c r="C862" s="1" t="str">
        <f>("622454467255")</f>
        <v>622454467255</v>
      </c>
      <c r="D862" s="1" t="s">
        <v>1216</v>
      </c>
      <c r="E862" t="s">
        <v>1217</v>
      </c>
      <c r="F862" s="3">
        <v>1529.17</v>
      </c>
      <c r="G862" s="1" t="s">
        <v>13</v>
      </c>
      <c r="H862" s="2">
        <v>44621</v>
      </c>
      <c r="I862" s="1">
        <v>13.85</v>
      </c>
      <c r="J862" s="1">
        <v>30.533999999999999</v>
      </c>
      <c r="L862" s="1" t="s">
        <v>31</v>
      </c>
    </row>
    <row r="863" spans="1:12" x14ac:dyDescent="0.25">
      <c r="A863" s="1" t="s">
        <v>1318</v>
      </c>
      <c r="B863" s="1" t="str">
        <f>("125862")</f>
        <v>125862</v>
      </c>
      <c r="C863" s="1" t="str">
        <f>("622454467262")</f>
        <v>622454467262</v>
      </c>
      <c r="D863" s="1" t="s">
        <v>1218</v>
      </c>
      <c r="E863" t="s">
        <v>1219</v>
      </c>
      <c r="F863" s="3">
        <v>1773.38</v>
      </c>
      <c r="G863" s="1" t="s">
        <v>13</v>
      </c>
      <c r="H863" s="2">
        <v>44621</v>
      </c>
      <c r="I863" s="1">
        <v>18.077999999999999</v>
      </c>
      <c r="J863" s="1">
        <v>39.854999999999997</v>
      </c>
      <c r="L863" s="1" t="s">
        <v>31</v>
      </c>
    </row>
    <row r="864" spans="1:12" x14ac:dyDescent="0.25">
      <c r="A864" s="1" t="s">
        <v>1318</v>
      </c>
      <c r="B864" s="1" t="str">
        <f>("125863")</f>
        <v>125863</v>
      </c>
      <c r="C864" s="1" t="str">
        <f>("622454467279")</f>
        <v>622454467279</v>
      </c>
      <c r="D864" s="1" t="s">
        <v>1220</v>
      </c>
      <c r="E864" t="s">
        <v>1221</v>
      </c>
      <c r="F864" s="3">
        <v>2027.64</v>
      </c>
      <c r="G864" s="1" t="s">
        <v>13</v>
      </c>
      <c r="H864" s="2">
        <v>44621</v>
      </c>
      <c r="I864" s="1">
        <v>20.913</v>
      </c>
      <c r="J864" s="1">
        <v>46.104999999999997</v>
      </c>
      <c r="L864" s="1" t="s">
        <v>31</v>
      </c>
    </row>
    <row r="865" spans="1:12" x14ac:dyDescent="0.25">
      <c r="A865" s="1" t="s">
        <v>1318</v>
      </c>
      <c r="B865" s="1" t="str">
        <f>("125864")</f>
        <v>125864</v>
      </c>
      <c r="C865" s="1" t="str">
        <f>("622454467286")</f>
        <v>622454467286</v>
      </c>
      <c r="D865" s="1" t="s">
        <v>1222</v>
      </c>
      <c r="E865" t="s">
        <v>1223</v>
      </c>
      <c r="F865" s="3">
        <v>1916.44</v>
      </c>
      <c r="G865" s="1" t="s">
        <v>13</v>
      </c>
      <c r="H865" s="2">
        <v>44621</v>
      </c>
      <c r="I865" s="1">
        <v>14.696</v>
      </c>
      <c r="J865" s="1">
        <v>32.399000000000001</v>
      </c>
      <c r="L865" s="1" t="s">
        <v>31</v>
      </c>
    </row>
    <row r="866" spans="1:12" x14ac:dyDescent="0.25">
      <c r="A866" s="1" t="s">
        <v>1318</v>
      </c>
      <c r="B866" s="1" t="str">
        <f>("125865")</f>
        <v>125865</v>
      </c>
      <c r="C866" s="1" t="str">
        <f>("622454467293")</f>
        <v>622454467293</v>
      </c>
      <c r="D866" s="1" t="s">
        <v>1224</v>
      </c>
      <c r="E866" t="s">
        <v>1225</v>
      </c>
      <c r="F866" s="3">
        <v>2159.1799999999998</v>
      </c>
      <c r="G866" s="1" t="s">
        <v>13</v>
      </c>
      <c r="H866" s="2">
        <v>44621</v>
      </c>
      <c r="I866" s="1">
        <v>17.952999999999999</v>
      </c>
      <c r="J866" s="1">
        <v>39.58</v>
      </c>
      <c r="L866" s="1" t="s">
        <v>31</v>
      </c>
    </row>
    <row r="867" spans="1:12" x14ac:dyDescent="0.25">
      <c r="A867" s="1" t="s">
        <v>1318</v>
      </c>
      <c r="B867" s="1" t="str">
        <f>("125866")</f>
        <v>125866</v>
      </c>
      <c r="C867" s="1" t="str">
        <f>("622454467309")</f>
        <v>622454467309</v>
      </c>
      <c r="D867" s="1" t="s">
        <v>1226</v>
      </c>
      <c r="E867" t="s">
        <v>1227</v>
      </c>
      <c r="F867" s="3">
        <v>2474.04</v>
      </c>
      <c r="G867" s="1" t="s">
        <v>13</v>
      </c>
      <c r="H867" s="2">
        <v>44621</v>
      </c>
      <c r="I867" s="1">
        <v>20.109000000000002</v>
      </c>
      <c r="J867" s="1">
        <v>44.332999999999998</v>
      </c>
      <c r="L867" s="1" t="s">
        <v>31</v>
      </c>
    </row>
    <row r="868" spans="1:12" x14ac:dyDescent="0.25">
      <c r="A868" s="1" t="s">
        <v>1318</v>
      </c>
      <c r="B868" s="1" t="str">
        <f>("125867")</f>
        <v>125867</v>
      </c>
      <c r="C868" s="1" t="str">
        <f>("622454467316")</f>
        <v>622454467316</v>
      </c>
      <c r="D868" s="1" t="s">
        <v>1228</v>
      </c>
      <c r="E868" t="s">
        <v>1229</v>
      </c>
      <c r="F868" s="3">
        <v>2763.64</v>
      </c>
      <c r="G868" s="1" t="s">
        <v>13</v>
      </c>
      <c r="H868" s="2">
        <v>44621</v>
      </c>
      <c r="I868" s="1">
        <v>25.972000000000001</v>
      </c>
      <c r="J868" s="1">
        <v>57.258000000000003</v>
      </c>
      <c r="L868" s="1" t="s">
        <v>31</v>
      </c>
    </row>
    <row r="869" spans="1:12" x14ac:dyDescent="0.25">
      <c r="A869" s="1" t="s">
        <v>1318</v>
      </c>
      <c r="B869" s="1" t="str">
        <f>("125868")</f>
        <v>125868</v>
      </c>
      <c r="C869" s="1" t="str">
        <f>("622454467323")</f>
        <v>622454467323</v>
      </c>
      <c r="D869" s="1" t="s">
        <v>1230</v>
      </c>
      <c r="E869" t="s">
        <v>1231</v>
      </c>
      <c r="F869" s="3">
        <v>3096.32</v>
      </c>
      <c r="G869" s="1" t="s">
        <v>13</v>
      </c>
      <c r="H869" s="2">
        <v>44621</v>
      </c>
      <c r="I869" s="1">
        <v>29.739000000000001</v>
      </c>
      <c r="J869" s="1">
        <v>65.563000000000002</v>
      </c>
      <c r="L869" s="1" t="s">
        <v>31</v>
      </c>
    </row>
    <row r="870" spans="1:12" x14ac:dyDescent="0.25">
      <c r="A870" s="1" t="s">
        <v>1318</v>
      </c>
      <c r="B870" s="1" t="str">
        <f>("125869")</f>
        <v>125869</v>
      </c>
      <c r="C870" s="1" t="str">
        <f>("622454467330")</f>
        <v>622454467330</v>
      </c>
      <c r="D870" s="1" t="s">
        <v>1232</v>
      </c>
      <c r="E870" t="s">
        <v>1233</v>
      </c>
      <c r="F870" s="3">
        <v>2205.1999999999998</v>
      </c>
      <c r="G870" s="1" t="s">
        <v>13</v>
      </c>
      <c r="H870" s="2">
        <v>44621</v>
      </c>
      <c r="I870" s="1">
        <v>21.454000000000001</v>
      </c>
      <c r="J870" s="1">
        <v>47.298000000000002</v>
      </c>
      <c r="L870" s="1" t="s">
        <v>31</v>
      </c>
    </row>
    <row r="871" spans="1:12" x14ac:dyDescent="0.25">
      <c r="A871" s="1" t="s">
        <v>1318</v>
      </c>
      <c r="B871" s="1" t="str">
        <f>("125870")</f>
        <v>125870</v>
      </c>
      <c r="C871" s="1" t="str">
        <f>("622454467347")</f>
        <v>622454467347</v>
      </c>
      <c r="D871" s="1" t="s">
        <v>1234</v>
      </c>
      <c r="E871" t="s">
        <v>1235</v>
      </c>
      <c r="F871" s="3">
        <v>2481.5700000000002</v>
      </c>
      <c r="G871" s="1" t="s">
        <v>13</v>
      </c>
      <c r="H871" s="2">
        <v>44621</v>
      </c>
      <c r="I871" s="1">
        <v>26.161000000000001</v>
      </c>
      <c r="J871" s="1">
        <v>57.674999999999997</v>
      </c>
      <c r="L871" s="1" t="s">
        <v>31</v>
      </c>
    </row>
    <row r="872" spans="1:12" x14ac:dyDescent="0.25">
      <c r="A872" s="1" t="s">
        <v>1318</v>
      </c>
      <c r="B872" s="1" t="str">
        <f>("125871")</f>
        <v>125871</v>
      </c>
      <c r="C872" s="1" t="str">
        <f>("622454467354")</f>
        <v>622454467354</v>
      </c>
      <c r="D872" s="1" t="s">
        <v>1236</v>
      </c>
      <c r="E872" t="s">
        <v>1237</v>
      </c>
      <c r="F872" s="3">
        <v>2826.07</v>
      </c>
      <c r="G872" s="1" t="s">
        <v>13</v>
      </c>
      <c r="H872" s="2">
        <v>44621</v>
      </c>
      <c r="I872" s="1">
        <v>28.744</v>
      </c>
      <c r="J872" s="1">
        <v>63.37</v>
      </c>
      <c r="L872" s="1" t="s">
        <v>31</v>
      </c>
    </row>
    <row r="873" spans="1:12" x14ac:dyDescent="0.25">
      <c r="A873" s="1" t="s">
        <v>1318</v>
      </c>
      <c r="B873" s="1" t="str">
        <f>("125872")</f>
        <v>125872</v>
      </c>
      <c r="C873" s="1" t="str">
        <f>("622454467361")</f>
        <v>622454467361</v>
      </c>
      <c r="D873" s="1" t="s">
        <v>1238</v>
      </c>
      <c r="E873" t="s">
        <v>1239</v>
      </c>
      <c r="F873" s="3">
        <v>3145.33</v>
      </c>
      <c r="G873" s="1" t="s">
        <v>13</v>
      </c>
      <c r="H873" s="2">
        <v>44621</v>
      </c>
      <c r="I873" s="1">
        <v>36.345999999999997</v>
      </c>
      <c r="J873" s="1">
        <v>80.129000000000005</v>
      </c>
      <c r="L873" s="1" t="s">
        <v>31</v>
      </c>
    </row>
    <row r="874" spans="1:12" x14ac:dyDescent="0.25">
      <c r="A874" s="1" t="s">
        <v>1318</v>
      </c>
      <c r="B874" s="1" t="str">
        <f>("125873")</f>
        <v>125873</v>
      </c>
      <c r="C874" s="1" t="str">
        <f>("622454467378")</f>
        <v>622454467378</v>
      </c>
      <c r="D874" s="1" t="s">
        <v>1240</v>
      </c>
      <c r="E874" t="s">
        <v>1241</v>
      </c>
      <c r="F874" s="3">
        <v>3505.05</v>
      </c>
      <c r="G874" s="1" t="s">
        <v>13</v>
      </c>
      <c r="H874" s="2">
        <v>44621</v>
      </c>
      <c r="I874" s="1">
        <v>40.164000000000001</v>
      </c>
      <c r="J874" s="1">
        <v>88.546000000000006</v>
      </c>
      <c r="L874" s="1" t="s">
        <v>31</v>
      </c>
    </row>
    <row r="875" spans="1:12" x14ac:dyDescent="0.25">
      <c r="A875" s="1" t="s">
        <v>1318</v>
      </c>
      <c r="B875" s="1" t="str">
        <f>("125874")</f>
        <v>125874</v>
      </c>
      <c r="C875" s="1" t="str">
        <f>("622454467385")</f>
        <v>622454467385</v>
      </c>
      <c r="D875" s="1" t="s">
        <v>1242</v>
      </c>
      <c r="E875" t="s">
        <v>1243</v>
      </c>
      <c r="F875" s="3">
        <v>3967.22</v>
      </c>
      <c r="G875" s="1" t="s">
        <v>13</v>
      </c>
      <c r="H875" s="2">
        <v>44621</v>
      </c>
      <c r="I875" s="1">
        <v>40.497</v>
      </c>
      <c r="J875" s="1">
        <v>89.28</v>
      </c>
      <c r="L875" s="1" t="s">
        <v>31</v>
      </c>
    </row>
    <row r="876" spans="1:12" x14ac:dyDescent="0.25">
      <c r="A876" s="1" t="s">
        <v>1318</v>
      </c>
      <c r="B876" s="1" t="str">
        <f>("125875")</f>
        <v>125875</v>
      </c>
      <c r="C876" s="1" t="str">
        <f>("622454467392")</f>
        <v>622454467392</v>
      </c>
      <c r="D876" s="1" t="s">
        <v>1244</v>
      </c>
      <c r="E876" t="s">
        <v>1245</v>
      </c>
      <c r="F876" s="3">
        <v>2271.48</v>
      </c>
      <c r="G876" s="1" t="s">
        <v>13</v>
      </c>
      <c r="H876" s="2">
        <v>44621</v>
      </c>
      <c r="I876" s="1">
        <v>26.913</v>
      </c>
      <c r="J876" s="1">
        <v>59.332999999999998</v>
      </c>
      <c r="L876" s="1" t="s">
        <v>31</v>
      </c>
    </row>
    <row r="877" spans="1:12" x14ac:dyDescent="0.25">
      <c r="A877" s="1" t="s">
        <v>1318</v>
      </c>
      <c r="B877" s="1" t="str">
        <f>("125876")</f>
        <v>125876</v>
      </c>
      <c r="C877" s="1" t="str">
        <f>("622454467408")</f>
        <v>622454467408</v>
      </c>
      <c r="D877" s="1" t="s">
        <v>1246</v>
      </c>
      <c r="E877" t="s">
        <v>1247</v>
      </c>
      <c r="F877" s="3">
        <v>4351.99</v>
      </c>
      <c r="G877" s="1" t="s">
        <v>13</v>
      </c>
      <c r="H877" s="2">
        <v>44621</v>
      </c>
      <c r="I877" s="1">
        <v>32.588000000000001</v>
      </c>
      <c r="J877" s="1">
        <v>71.843999999999994</v>
      </c>
      <c r="L877" s="1" t="s">
        <v>31</v>
      </c>
    </row>
    <row r="878" spans="1:12" x14ac:dyDescent="0.25">
      <c r="A878" s="1" t="s">
        <v>1318</v>
      </c>
      <c r="B878" s="1" t="str">
        <f>("125877")</f>
        <v>125877</v>
      </c>
      <c r="C878" s="1" t="str">
        <f>("622454467415")</f>
        <v>622454467415</v>
      </c>
      <c r="D878" s="1" t="s">
        <v>1248</v>
      </c>
      <c r="E878" t="s">
        <v>1249</v>
      </c>
      <c r="F878" s="3">
        <v>3248</v>
      </c>
      <c r="G878" s="1" t="s">
        <v>13</v>
      </c>
      <c r="H878" s="2">
        <v>44621</v>
      </c>
      <c r="I878" s="1">
        <v>34.741</v>
      </c>
      <c r="J878" s="1">
        <v>76.590999999999994</v>
      </c>
      <c r="L878" s="1" t="s">
        <v>31</v>
      </c>
    </row>
    <row r="879" spans="1:12" x14ac:dyDescent="0.25">
      <c r="A879" s="1" t="s">
        <v>1318</v>
      </c>
      <c r="B879" s="1" t="str">
        <f>("125878")</f>
        <v>125878</v>
      </c>
      <c r="C879" s="1" t="str">
        <f>("622454467422")</f>
        <v>622454467422</v>
      </c>
      <c r="D879" s="1" t="s">
        <v>1250</v>
      </c>
      <c r="E879" t="s">
        <v>1251</v>
      </c>
      <c r="F879" s="3">
        <v>3612.72</v>
      </c>
      <c r="G879" s="1" t="s">
        <v>13</v>
      </c>
      <c r="H879" s="2">
        <v>44621</v>
      </c>
      <c r="I879" s="1">
        <v>44.058</v>
      </c>
      <c r="J879" s="1">
        <v>97.131</v>
      </c>
      <c r="L879" s="1" t="s">
        <v>31</v>
      </c>
    </row>
    <row r="880" spans="1:12" x14ac:dyDescent="0.25">
      <c r="A880" s="1" t="s">
        <v>1318</v>
      </c>
      <c r="B880" s="1" t="str">
        <f>("125879")</f>
        <v>125879</v>
      </c>
      <c r="C880" s="1" t="str">
        <f>("622454467439")</f>
        <v>622454467439</v>
      </c>
      <c r="D880" s="1" t="s">
        <v>1252</v>
      </c>
      <c r="E880" t="s">
        <v>1253</v>
      </c>
      <c r="F880" s="3">
        <v>4191.1099999999997</v>
      </c>
      <c r="G880" s="1" t="s">
        <v>13</v>
      </c>
      <c r="H880" s="2">
        <v>44621</v>
      </c>
      <c r="I880" s="1">
        <v>47.875</v>
      </c>
      <c r="J880" s="1">
        <v>105.54600000000001</v>
      </c>
      <c r="L880" s="1" t="s">
        <v>31</v>
      </c>
    </row>
    <row r="881" spans="1:12" x14ac:dyDescent="0.25">
      <c r="A881" s="1" t="s">
        <v>1318</v>
      </c>
      <c r="B881" s="1" t="str">
        <f>("125880")</f>
        <v>125880</v>
      </c>
      <c r="C881" s="1" t="str">
        <f>("622454467446")</f>
        <v>622454467446</v>
      </c>
      <c r="D881" s="1" t="s">
        <v>1254</v>
      </c>
      <c r="E881" t="s">
        <v>1255</v>
      </c>
      <c r="F881" s="3">
        <v>4601.6000000000004</v>
      </c>
      <c r="G881" s="1" t="s">
        <v>13</v>
      </c>
      <c r="H881" s="2">
        <v>44621</v>
      </c>
      <c r="I881" s="1">
        <v>60.313000000000002</v>
      </c>
      <c r="J881" s="1">
        <v>132.96700000000001</v>
      </c>
      <c r="L881" s="1" t="s">
        <v>31</v>
      </c>
    </row>
    <row r="882" spans="1:12" x14ac:dyDescent="0.25">
      <c r="A882" s="1" t="s">
        <v>1318</v>
      </c>
      <c r="B882" s="1" t="str">
        <f>("125881")</f>
        <v>125881</v>
      </c>
      <c r="C882" s="1" t="str">
        <f>("622454467453")</f>
        <v>622454467453</v>
      </c>
      <c r="D882" s="1" t="s">
        <v>1256</v>
      </c>
      <c r="E882" t="s">
        <v>1257</v>
      </c>
      <c r="F882" s="3">
        <v>4825.97</v>
      </c>
      <c r="G882" s="1" t="s">
        <v>13</v>
      </c>
      <c r="H882" s="2">
        <v>44621</v>
      </c>
      <c r="I882" s="1">
        <v>69.320999999999998</v>
      </c>
      <c r="J882" s="1">
        <v>152.82599999999999</v>
      </c>
      <c r="L882" s="1" t="s">
        <v>31</v>
      </c>
    </row>
    <row r="883" spans="1:12" x14ac:dyDescent="0.25">
      <c r="A883" s="1" t="s">
        <v>1318</v>
      </c>
      <c r="B883" s="1" t="str">
        <f>("125882")</f>
        <v>125882</v>
      </c>
      <c r="C883" s="1" t="str">
        <f>("622454467460")</f>
        <v>622454467460</v>
      </c>
      <c r="D883" s="1" t="s">
        <v>1258</v>
      </c>
      <c r="E883" t="s">
        <v>1259</v>
      </c>
      <c r="F883" s="3">
        <v>2470.41</v>
      </c>
      <c r="G883" s="1" t="s">
        <v>13</v>
      </c>
      <c r="H883" s="2">
        <v>44621</v>
      </c>
      <c r="I883" s="1">
        <v>36.476999999999997</v>
      </c>
      <c r="J883" s="1">
        <v>80.418000000000006</v>
      </c>
      <c r="L883" s="1" t="s">
        <v>31</v>
      </c>
    </row>
    <row r="884" spans="1:12" x14ac:dyDescent="0.25">
      <c r="A884" s="1" t="s">
        <v>1318</v>
      </c>
      <c r="B884" s="1" t="str">
        <f>("125883")</f>
        <v>125883</v>
      </c>
      <c r="C884" s="1" t="str">
        <f>("622454467477")</f>
        <v>622454467477</v>
      </c>
      <c r="D884" s="1" t="s">
        <v>1260</v>
      </c>
      <c r="E884" t="s">
        <v>1261</v>
      </c>
      <c r="F884" s="3">
        <v>2516.77</v>
      </c>
      <c r="G884" s="1" t="s">
        <v>13</v>
      </c>
      <c r="H884" s="2">
        <v>44621</v>
      </c>
      <c r="I884" s="1">
        <v>44.883000000000003</v>
      </c>
      <c r="J884" s="1">
        <v>98.95</v>
      </c>
      <c r="L884" s="1" t="s">
        <v>31</v>
      </c>
    </row>
    <row r="885" spans="1:12" x14ac:dyDescent="0.25">
      <c r="A885" s="1" t="s">
        <v>1318</v>
      </c>
      <c r="B885" s="1" t="str">
        <f>("125884")</f>
        <v>125884</v>
      </c>
      <c r="C885" s="1" t="str">
        <f>("622454467484")</f>
        <v>622454467484</v>
      </c>
      <c r="D885" s="1" t="s">
        <v>1262</v>
      </c>
      <c r="E885" t="s">
        <v>1263</v>
      </c>
      <c r="F885" s="3">
        <v>3402.05</v>
      </c>
      <c r="G885" s="1" t="s">
        <v>13</v>
      </c>
      <c r="H885" s="2">
        <v>44621</v>
      </c>
      <c r="I885" s="1">
        <v>47.545999999999999</v>
      </c>
      <c r="J885" s="1">
        <v>104.821</v>
      </c>
      <c r="L885" s="1" t="s">
        <v>31</v>
      </c>
    </row>
    <row r="886" spans="1:12" x14ac:dyDescent="0.25">
      <c r="A886" s="1" t="s">
        <v>1318</v>
      </c>
      <c r="B886" s="1" t="str">
        <f>("125885")</f>
        <v>125885</v>
      </c>
      <c r="C886" s="1" t="str">
        <f>("622454467491")</f>
        <v>622454467491</v>
      </c>
      <c r="D886" s="1" t="s">
        <v>1264</v>
      </c>
      <c r="E886" t="s">
        <v>1265</v>
      </c>
      <c r="F886" s="3">
        <v>3782.1</v>
      </c>
      <c r="G886" s="1" t="s">
        <v>13</v>
      </c>
      <c r="H886" s="2">
        <v>44621</v>
      </c>
      <c r="I886" s="1">
        <v>50.292000000000002</v>
      </c>
      <c r="J886" s="1">
        <v>110.875</v>
      </c>
      <c r="L886" s="1" t="s">
        <v>31</v>
      </c>
    </row>
    <row r="887" spans="1:12" x14ac:dyDescent="0.25">
      <c r="A887" s="1" t="s">
        <v>1318</v>
      </c>
      <c r="B887" s="1" t="str">
        <f>("125886")</f>
        <v>125886</v>
      </c>
      <c r="C887" s="1" t="str">
        <f>("622454467507")</f>
        <v>622454467507</v>
      </c>
      <c r="D887" s="1" t="s">
        <v>1266</v>
      </c>
      <c r="E887" t="s">
        <v>1267</v>
      </c>
      <c r="F887" s="3">
        <v>4558.01</v>
      </c>
      <c r="G887" s="1" t="s">
        <v>13</v>
      </c>
      <c r="H887" s="2">
        <v>44621</v>
      </c>
      <c r="I887" s="1">
        <v>64.694999999999993</v>
      </c>
      <c r="J887" s="1">
        <v>142.62799999999999</v>
      </c>
      <c r="L887" s="1" t="s">
        <v>31</v>
      </c>
    </row>
    <row r="888" spans="1:12" x14ac:dyDescent="0.25">
      <c r="A888" s="1" t="s">
        <v>1318</v>
      </c>
      <c r="B888" s="1" t="str">
        <f>("125887")</f>
        <v>125887</v>
      </c>
      <c r="C888" s="1" t="str">
        <f>("622454467514")</f>
        <v>622454467514</v>
      </c>
      <c r="D888" s="1" t="s">
        <v>1268</v>
      </c>
      <c r="E888" t="s">
        <v>1269</v>
      </c>
      <c r="F888" s="3">
        <v>5100.9799999999996</v>
      </c>
      <c r="G888" s="1" t="s">
        <v>13</v>
      </c>
      <c r="H888" s="2">
        <v>44621</v>
      </c>
      <c r="I888" s="1">
        <v>68.869</v>
      </c>
      <c r="J888" s="1">
        <v>151.83000000000001</v>
      </c>
      <c r="L888" s="1" t="s">
        <v>31</v>
      </c>
    </row>
    <row r="889" spans="1:12" x14ac:dyDescent="0.25">
      <c r="A889" s="1" t="s">
        <v>1318</v>
      </c>
      <c r="B889" s="1" t="str">
        <f>("125888")</f>
        <v>125888</v>
      </c>
      <c r="C889" s="1" t="str">
        <f>("622454467521")</f>
        <v>622454467521</v>
      </c>
      <c r="D889" s="1" t="s">
        <v>1270</v>
      </c>
      <c r="E889" t="s">
        <v>1271</v>
      </c>
      <c r="F889" s="3">
        <v>5653.89</v>
      </c>
      <c r="G889" s="1" t="s">
        <v>13</v>
      </c>
      <c r="H889" s="2">
        <v>44621</v>
      </c>
      <c r="I889" s="1">
        <v>77.093000000000004</v>
      </c>
      <c r="J889" s="1">
        <v>169.96100000000001</v>
      </c>
      <c r="L889" s="1" t="s">
        <v>31</v>
      </c>
    </row>
    <row r="890" spans="1:12" x14ac:dyDescent="0.25">
      <c r="A890" s="1" t="s">
        <v>1318</v>
      </c>
      <c r="B890" s="1" t="str">
        <f>("125889")</f>
        <v>125889</v>
      </c>
      <c r="C890" s="1" t="str">
        <f>("622454467538")</f>
        <v>622454467538</v>
      </c>
      <c r="D890" s="1" t="s">
        <v>1272</v>
      </c>
      <c r="E890" t="s">
        <v>1273</v>
      </c>
      <c r="F890" s="3">
        <v>6068.99</v>
      </c>
      <c r="G890" s="1" t="s">
        <v>13</v>
      </c>
      <c r="H890" s="2">
        <v>44621</v>
      </c>
      <c r="I890" s="1">
        <v>1E-3</v>
      </c>
      <c r="J890" s="1">
        <v>2E-3</v>
      </c>
      <c r="L890" s="1" t="s">
        <v>31</v>
      </c>
    </row>
    <row r="891" spans="1:12" x14ac:dyDescent="0.25">
      <c r="A891" s="1" t="s">
        <v>1318</v>
      </c>
      <c r="B891" s="1" t="str">
        <f>("125890")</f>
        <v>125890</v>
      </c>
      <c r="C891" s="1" t="str">
        <f>("622454467545")</f>
        <v>622454467545</v>
      </c>
      <c r="D891" s="1" t="s">
        <v>1274</v>
      </c>
      <c r="E891" t="s">
        <v>1275</v>
      </c>
      <c r="F891" s="3">
        <v>2983.36</v>
      </c>
      <c r="G891" s="1" t="s">
        <v>13</v>
      </c>
      <c r="H891" s="2">
        <v>44621</v>
      </c>
      <c r="I891" s="1">
        <v>51.567</v>
      </c>
      <c r="J891" s="1">
        <v>113.68600000000001</v>
      </c>
      <c r="L891" s="1" t="s">
        <v>31</v>
      </c>
    </row>
    <row r="892" spans="1:12" x14ac:dyDescent="0.25">
      <c r="A892" s="1" t="s">
        <v>1318</v>
      </c>
      <c r="B892" s="1" t="str">
        <f>("125891")</f>
        <v>125891</v>
      </c>
      <c r="C892" s="1" t="str">
        <f>("622454467552")</f>
        <v>622454467552</v>
      </c>
      <c r="D892" s="1" t="s">
        <v>1276</v>
      </c>
      <c r="E892" t="s">
        <v>1277</v>
      </c>
      <c r="F892" s="3">
        <v>5250.97</v>
      </c>
      <c r="G892" s="1" t="s">
        <v>13</v>
      </c>
      <c r="H892" s="2">
        <v>44621</v>
      </c>
      <c r="I892" s="1">
        <v>55.46</v>
      </c>
      <c r="J892" s="1">
        <v>122.268</v>
      </c>
      <c r="L892" s="1" t="s">
        <v>31</v>
      </c>
    </row>
    <row r="893" spans="1:12" x14ac:dyDescent="0.25">
      <c r="A893" s="1" t="s">
        <v>1318</v>
      </c>
      <c r="B893" s="1" t="str">
        <f>("125892")</f>
        <v>125892</v>
      </c>
      <c r="C893" s="1" t="str">
        <f>("622454467569")</f>
        <v>622454467569</v>
      </c>
      <c r="D893" s="1" t="s">
        <v>1278</v>
      </c>
      <c r="E893" t="s">
        <v>1279</v>
      </c>
      <c r="F893" s="3">
        <v>5728.01</v>
      </c>
      <c r="G893" s="1" t="s">
        <v>13</v>
      </c>
      <c r="H893" s="2">
        <v>44621</v>
      </c>
      <c r="I893" s="1">
        <v>63.701000000000001</v>
      </c>
      <c r="J893" s="1">
        <v>140.43600000000001</v>
      </c>
      <c r="L893" s="1" t="s">
        <v>31</v>
      </c>
    </row>
    <row r="894" spans="1:12" x14ac:dyDescent="0.25">
      <c r="A894" s="1" t="s">
        <v>1318</v>
      </c>
      <c r="B894" s="1" t="str">
        <f>("125893")</f>
        <v>125893</v>
      </c>
      <c r="C894" s="1" t="str">
        <f>("622454467576")</f>
        <v>622454467576</v>
      </c>
      <c r="D894" s="1" t="s">
        <v>1280</v>
      </c>
      <c r="E894" t="s">
        <v>1281</v>
      </c>
      <c r="F894" s="3">
        <v>5788.51</v>
      </c>
      <c r="G894" s="1" t="s">
        <v>13</v>
      </c>
      <c r="H894" s="2">
        <v>44621</v>
      </c>
      <c r="I894" s="1">
        <v>80.989000000000004</v>
      </c>
      <c r="J894" s="1">
        <v>178.55</v>
      </c>
      <c r="L894" s="1" t="s">
        <v>31</v>
      </c>
    </row>
    <row r="895" spans="1:12" x14ac:dyDescent="0.25">
      <c r="A895" s="1" t="s">
        <v>1318</v>
      </c>
      <c r="B895" s="1" t="str">
        <f>("125894")</f>
        <v>125894</v>
      </c>
      <c r="C895" s="1" t="str">
        <f>("622454467583")</f>
        <v>622454467583</v>
      </c>
      <c r="D895" s="1" t="s">
        <v>1282</v>
      </c>
      <c r="E895" t="s">
        <v>1283</v>
      </c>
      <c r="F895" s="3">
        <v>6127.36</v>
      </c>
      <c r="G895" s="1" t="s">
        <v>13</v>
      </c>
      <c r="H895" s="2">
        <v>44621</v>
      </c>
      <c r="I895" s="1">
        <v>85.460999999999999</v>
      </c>
      <c r="J895" s="1">
        <v>188.40899999999999</v>
      </c>
      <c r="L895" s="1" t="s">
        <v>31</v>
      </c>
    </row>
    <row r="896" spans="1:12" x14ac:dyDescent="0.25">
      <c r="A896" s="1" t="s">
        <v>1318</v>
      </c>
      <c r="B896" s="1" t="str">
        <f>("125895")</f>
        <v>125895</v>
      </c>
      <c r="C896" s="1" t="str">
        <f>("622454467590")</f>
        <v>622454467590</v>
      </c>
      <c r="D896" s="1" t="s">
        <v>1284</v>
      </c>
      <c r="E896" t="s">
        <v>1285</v>
      </c>
      <c r="F896" s="3">
        <v>6337.57</v>
      </c>
      <c r="G896" s="1" t="s">
        <v>13</v>
      </c>
      <c r="H896" s="2">
        <v>44621</v>
      </c>
      <c r="I896" s="1">
        <v>88.703999999999994</v>
      </c>
      <c r="J896" s="1">
        <v>195.559</v>
      </c>
      <c r="L896" s="1" t="s">
        <v>31</v>
      </c>
    </row>
    <row r="897" spans="1:12" x14ac:dyDescent="0.25">
      <c r="A897" s="1" t="s">
        <v>1318</v>
      </c>
      <c r="B897" s="1" t="str">
        <f>("125896")</f>
        <v>125896</v>
      </c>
      <c r="C897" s="1" t="str">
        <f>("622454467606")</f>
        <v>622454467606</v>
      </c>
      <c r="D897" s="1" t="s">
        <v>1286</v>
      </c>
      <c r="E897" t="s">
        <v>1287</v>
      </c>
      <c r="F897" s="3">
        <v>6636.99</v>
      </c>
      <c r="G897" s="1" t="s">
        <v>13</v>
      </c>
      <c r="H897" s="2">
        <v>44621</v>
      </c>
      <c r="I897" s="1">
        <v>90.959000000000003</v>
      </c>
      <c r="J897" s="1">
        <v>200.53</v>
      </c>
      <c r="L897" s="1" t="s">
        <v>31</v>
      </c>
    </row>
    <row r="898" spans="1:12" x14ac:dyDescent="0.25">
      <c r="A898" s="1" t="s">
        <v>1318</v>
      </c>
      <c r="B898" s="1" t="str">
        <f>("125897")</f>
        <v>125897</v>
      </c>
      <c r="C898" s="1" t="str">
        <f>("622454467613")</f>
        <v>622454467613</v>
      </c>
      <c r="D898" s="1" t="s">
        <v>1288</v>
      </c>
      <c r="E898" t="s">
        <v>1289</v>
      </c>
      <c r="F898" s="3">
        <v>7215.2</v>
      </c>
      <c r="G898" s="1" t="s">
        <v>13</v>
      </c>
      <c r="H898" s="2">
        <v>44621</v>
      </c>
      <c r="I898" s="1">
        <v>134.94800000000001</v>
      </c>
      <c r="J898" s="1">
        <v>297.50900000000001</v>
      </c>
      <c r="L898" s="1" t="s">
        <v>31</v>
      </c>
    </row>
    <row r="899" spans="1:12" x14ac:dyDescent="0.25">
      <c r="A899" s="1" t="s">
        <v>1318</v>
      </c>
      <c r="B899" s="1" t="str">
        <f>("125898")</f>
        <v>125898</v>
      </c>
      <c r="C899" s="1" t="str">
        <f>("622454467620")</f>
        <v>622454467620</v>
      </c>
      <c r="D899" s="1" t="s">
        <v>1290</v>
      </c>
      <c r="E899" t="s">
        <v>1291</v>
      </c>
      <c r="F899" s="3">
        <v>7886.8</v>
      </c>
      <c r="G899" s="1" t="s">
        <v>13</v>
      </c>
      <c r="H899" s="2">
        <v>44621</v>
      </c>
      <c r="I899" s="1">
        <v>1E-3</v>
      </c>
      <c r="J899" s="1">
        <v>2E-3</v>
      </c>
      <c r="L899" s="1" t="s">
        <v>31</v>
      </c>
    </row>
    <row r="900" spans="1:12" x14ac:dyDescent="0.25">
      <c r="A900" s="1" t="s">
        <v>1318</v>
      </c>
      <c r="B900" s="1" t="str">
        <f>("235048")</f>
        <v>235048</v>
      </c>
      <c r="C900" s="1" t="str">
        <f>("622454010680")</f>
        <v>622454010680</v>
      </c>
      <c r="D900" s="1">
        <v>463288</v>
      </c>
      <c r="E900" t="s">
        <v>1292</v>
      </c>
      <c r="F900" s="3">
        <v>65.180851063829792</v>
      </c>
      <c r="G900" s="1" t="s">
        <v>13</v>
      </c>
      <c r="H900" s="2">
        <v>44621</v>
      </c>
      <c r="I900" s="1">
        <v>0.1</v>
      </c>
      <c r="J900" s="1">
        <v>0.22</v>
      </c>
      <c r="K900" s="1">
        <v>10</v>
      </c>
      <c r="L900" s="1" t="s">
        <v>14</v>
      </c>
    </row>
    <row r="901" spans="1:12" x14ac:dyDescent="0.25">
      <c r="A901" s="1" t="s">
        <v>1318</v>
      </c>
      <c r="B901" s="1" t="str">
        <f>("035996")</f>
        <v>035996</v>
      </c>
      <c r="C901" s="1" t="str">
        <f>("622454359963")</f>
        <v>622454359963</v>
      </c>
      <c r="D901" s="1">
        <v>463336</v>
      </c>
      <c r="E901" t="s">
        <v>1293</v>
      </c>
      <c r="F901" s="3">
        <v>71.414893617021278</v>
      </c>
      <c r="G901" s="1" t="s">
        <v>13</v>
      </c>
      <c r="H901" s="2">
        <v>44621</v>
      </c>
      <c r="I901" s="1">
        <v>0.26800000000000002</v>
      </c>
      <c r="J901" s="1">
        <v>0.59099999999999997</v>
      </c>
      <c r="K901" s="1">
        <v>10</v>
      </c>
      <c r="L901" s="1" t="s">
        <v>14</v>
      </c>
    </row>
    <row r="902" spans="1:12" x14ac:dyDescent="0.25">
      <c r="A902" s="1" t="s">
        <v>1318</v>
      </c>
      <c r="B902" s="1" t="str">
        <f>("235049")</f>
        <v>235049</v>
      </c>
      <c r="C902" s="1" t="str">
        <f>("622454010697")</f>
        <v>622454010697</v>
      </c>
      <c r="D902" s="1">
        <v>463337</v>
      </c>
      <c r="E902" t="s">
        <v>1294</v>
      </c>
      <c r="F902" s="3">
        <v>65.180851063829792</v>
      </c>
      <c r="G902" s="1" t="s">
        <v>13</v>
      </c>
      <c r="H902" s="2">
        <v>44621</v>
      </c>
      <c r="I902" s="1">
        <v>0.23</v>
      </c>
      <c r="J902" s="1">
        <v>0.50700000000000001</v>
      </c>
      <c r="K902" s="1">
        <v>10</v>
      </c>
      <c r="L902" s="1" t="s">
        <v>14</v>
      </c>
    </row>
    <row r="903" spans="1:12" x14ac:dyDescent="0.25">
      <c r="A903" s="1" t="s">
        <v>1318</v>
      </c>
      <c r="B903" s="1" t="str">
        <f>("035995")</f>
        <v>035995</v>
      </c>
      <c r="C903" s="1" t="str">
        <f>("622454359956")</f>
        <v>622454359956</v>
      </c>
      <c r="D903" s="1">
        <v>463338</v>
      </c>
      <c r="E903" t="s">
        <v>1295</v>
      </c>
      <c r="F903" s="3">
        <v>71.414893617021278</v>
      </c>
      <c r="G903" s="1" t="s">
        <v>13</v>
      </c>
      <c r="H903" s="2">
        <v>44621</v>
      </c>
      <c r="I903" s="1">
        <v>0.33</v>
      </c>
      <c r="J903" s="1">
        <v>0.72799999999999998</v>
      </c>
      <c r="K903" s="1">
        <v>10</v>
      </c>
      <c r="L903" s="1" t="s">
        <v>14</v>
      </c>
    </row>
    <row r="904" spans="1:12" x14ac:dyDescent="0.25">
      <c r="A904" s="1" t="s">
        <v>1318</v>
      </c>
      <c r="B904" s="1" t="str">
        <f>("035767")</f>
        <v>035767</v>
      </c>
      <c r="C904" s="1" t="str">
        <f>("622454357679")</f>
        <v>622454357679</v>
      </c>
      <c r="D904" s="1">
        <v>463418</v>
      </c>
      <c r="E904" t="s">
        <v>1296</v>
      </c>
      <c r="F904" s="3">
        <v>95.319148936170208</v>
      </c>
      <c r="G904" s="1" t="s">
        <v>13</v>
      </c>
      <c r="H904" s="2">
        <v>44621</v>
      </c>
      <c r="I904" s="1">
        <v>0.27200000000000002</v>
      </c>
      <c r="J904" s="1">
        <v>0.6</v>
      </c>
      <c r="K904" s="1">
        <v>10</v>
      </c>
      <c r="L904" s="1" t="s">
        <v>14</v>
      </c>
    </row>
    <row r="905" spans="1:12" x14ac:dyDescent="0.25">
      <c r="A905" s="1" t="s">
        <v>1318</v>
      </c>
      <c r="B905" s="1" t="str">
        <f>("035768")</f>
        <v>035768</v>
      </c>
      <c r="C905" s="1" t="str">
        <f>("622454357686")</f>
        <v>622454357686</v>
      </c>
      <c r="D905" s="1">
        <v>463419</v>
      </c>
      <c r="E905" t="s">
        <v>1297</v>
      </c>
      <c r="F905" s="3">
        <v>87.053191489361708</v>
      </c>
      <c r="G905" s="1" t="s">
        <v>13</v>
      </c>
      <c r="H905" s="2">
        <v>44621</v>
      </c>
      <c r="I905" s="1">
        <v>0.23599999999999999</v>
      </c>
      <c r="J905" s="1">
        <v>0.52</v>
      </c>
      <c r="K905" s="1">
        <v>10</v>
      </c>
      <c r="L905" s="1" t="s">
        <v>14</v>
      </c>
    </row>
    <row r="906" spans="1:12" x14ac:dyDescent="0.25">
      <c r="A906" s="1" t="s">
        <v>1318</v>
      </c>
      <c r="B906" s="1" t="str">
        <f>("035769")</f>
        <v>035769</v>
      </c>
      <c r="C906" s="1" t="str">
        <f>("622454357693")</f>
        <v>622454357693</v>
      </c>
      <c r="D906" s="1">
        <v>463420</v>
      </c>
      <c r="E906" t="s">
        <v>1298</v>
      </c>
      <c r="F906" s="3">
        <v>95.319148936170208</v>
      </c>
      <c r="G906" s="1" t="s">
        <v>13</v>
      </c>
      <c r="H906" s="2">
        <v>44621</v>
      </c>
      <c r="I906" s="1">
        <v>0.34899999999999998</v>
      </c>
      <c r="J906" s="1">
        <v>0.76900000000000002</v>
      </c>
      <c r="K906" s="1">
        <v>10</v>
      </c>
      <c r="L906" s="1" t="s">
        <v>14</v>
      </c>
    </row>
    <row r="907" spans="1:12" x14ac:dyDescent="0.25">
      <c r="A907" s="1" t="s">
        <v>1318</v>
      </c>
      <c r="B907" s="1" t="str">
        <f>("235050")</f>
        <v>235050</v>
      </c>
      <c r="C907" s="1" t="str">
        <f>("622454010703")</f>
        <v>622454010703</v>
      </c>
      <c r="D907" s="1">
        <v>463485</v>
      </c>
      <c r="E907" t="s">
        <v>1299</v>
      </c>
      <c r="F907" s="3">
        <v>119</v>
      </c>
      <c r="G907" s="1" t="s">
        <v>13</v>
      </c>
      <c r="H907" s="2">
        <v>44621</v>
      </c>
      <c r="I907" s="1">
        <v>0.5</v>
      </c>
      <c r="J907" s="1">
        <v>1.1020000000000001</v>
      </c>
      <c r="K907" s="1">
        <v>6</v>
      </c>
      <c r="L907" s="1" t="s">
        <v>14</v>
      </c>
    </row>
    <row r="908" spans="1:12" x14ac:dyDescent="0.25">
      <c r="A908" s="1" t="s">
        <v>1318</v>
      </c>
      <c r="B908" s="1" t="str">
        <f>("235051")</f>
        <v>235051</v>
      </c>
      <c r="C908" s="1" t="str">
        <f>("622454010710")</f>
        <v>622454010710</v>
      </c>
      <c r="D908" s="1">
        <v>463526</v>
      </c>
      <c r="E908" t="s">
        <v>1300</v>
      </c>
      <c r="F908" s="3">
        <v>142.97872340425533</v>
      </c>
      <c r="G908" s="1" t="s">
        <v>13</v>
      </c>
      <c r="H908" s="2">
        <v>44621</v>
      </c>
      <c r="I908" s="1">
        <v>0.28999999999999998</v>
      </c>
      <c r="J908" s="1">
        <v>0.63900000000000001</v>
      </c>
      <c r="K908" s="1">
        <v>5</v>
      </c>
      <c r="L908" s="1" t="s">
        <v>14</v>
      </c>
    </row>
    <row r="909" spans="1:12" x14ac:dyDescent="0.25">
      <c r="A909" s="1" t="s">
        <v>1318</v>
      </c>
      <c r="B909" s="1" t="str">
        <f>("035588")</f>
        <v>035588</v>
      </c>
      <c r="C909" s="1" t="str">
        <f>("622454355880")</f>
        <v>622454355880</v>
      </c>
      <c r="D909" s="1">
        <v>463527</v>
      </c>
      <c r="E909" t="s">
        <v>1301</v>
      </c>
      <c r="F909" s="3">
        <v>130.64893617021278</v>
      </c>
      <c r="G909" s="1" t="s">
        <v>13</v>
      </c>
      <c r="H909" s="2">
        <v>44621</v>
      </c>
      <c r="I909" s="1">
        <v>1.7000000000000001E-2</v>
      </c>
      <c r="J909" s="1">
        <v>3.6999999999999998E-2</v>
      </c>
      <c r="K909" s="1">
        <v>5</v>
      </c>
      <c r="L909" s="1" t="s">
        <v>14</v>
      </c>
    </row>
    <row r="910" spans="1:12" x14ac:dyDescent="0.25">
      <c r="A910" s="1" t="s">
        <v>1318</v>
      </c>
      <c r="B910" s="1" t="str">
        <f>("035942")</f>
        <v>035942</v>
      </c>
      <c r="C910" s="1" t="str">
        <f>("622454359420")</f>
        <v>622454359420</v>
      </c>
      <c r="D910" s="1">
        <v>463528</v>
      </c>
      <c r="E910" t="s">
        <v>1302</v>
      </c>
      <c r="F910" s="3">
        <v>142.97872340425533</v>
      </c>
      <c r="G910" s="1" t="s">
        <v>13</v>
      </c>
      <c r="H910" s="2">
        <v>44621</v>
      </c>
      <c r="I910" s="1">
        <v>0.34</v>
      </c>
      <c r="J910" s="1">
        <v>0.75</v>
      </c>
      <c r="K910" s="1">
        <v>5</v>
      </c>
      <c r="L910" s="1" t="s">
        <v>14</v>
      </c>
    </row>
    <row r="911" spans="1:12" x14ac:dyDescent="0.25">
      <c r="A911" s="1" t="s">
        <v>1318</v>
      </c>
      <c r="B911" s="1" t="str">
        <f>("035770")</f>
        <v>035770</v>
      </c>
      <c r="C911" s="1" t="str">
        <f>("622454357709")</f>
        <v>622454357709</v>
      </c>
      <c r="D911" s="1">
        <v>463532</v>
      </c>
      <c r="E911" t="s">
        <v>1303</v>
      </c>
      <c r="F911" s="3">
        <v>164.37234042553192</v>
      </c>
      <c r="G911" s="1" t="s">
        <v>13</v>
      </c>
      <c r="H911" s="2">
        <v>44621</v>
      </c>
      <c r="I911" s="1">
        <v>0.86199999999999999</v>
      </c>
      <c r="J911" s="1">
        <v>1.9</v>
      </c>
      <c r="K911" s="1">
        <v>5</v>
      </c>
      <c r="L911" s="1" t="s">
        <v>14</v>
      </c>
    </row>
    <row r="912" spans="1:12" x14ac:dyDescent="0.25">
      <c r="A912" s="1" t="s">
        <v>1318</v>
      </c>
      <c r="B912" s="1" t="str">
        <f>("235052")</f>
        <v>235052</v>
      </c>
      <c r="C912" s="1" t="str">
        <f>("622454010727")</f>
        <v>622454010727</v>
      </c>
      <c r="D912" s="1">
        <v>463576</v>
      </c>
      <c r="E912" t="s">
        <v>1304</v>
      </c>
      <c r="F912" s="3">
        <v>213.21276595744681</v>
      </c>
      <c r="G912" s="1" t="s">
        <v>13</v>
      </c>
      <c r="H912" s="2">
        <v>44621</v>
      </c>
      <c r="I912" s="1">
        <v>0.39</v>
      </c>
      <c r="J912" s="1">
        <v>0.86</v>
      </c>
      <c r="K912" s="1">
        <v>5</v>
      </c>
      <c r="L912" s="1" t="s">
        <v>14</v>
      </c>
    </row>
    <row r="913" spans="1:12" x14ac:dyDescent="0.25">
      <c r="A913" s="1" t="s">
        <v>1318</v>
      </c>
      <c r="B913" s="1" t="str">
        <f>("235053")</f>
        <v>235053</v>
      </c>
      <c r="C913" s="1" t="str">
        <f>("622454010758")</f>
        <v>622454010758</v>
      </c>
      <c r="D913" s="1">
        <v>463577</v>
      </c>
      <c r="E913" t="s">
        <v>1305</v>
      </c>
      <c r="F913" s="3">
        <v>194.68085106382981</v>
      </c>
      <c r="G913" s="1" t="s">
        <v>13</v>
      </c>
      <c r="H913" s="2">
        <v>44621</v>
      </c>
      <c r="I913" s="1">
        <v>0.35</v>
      </c>
      <c r="J913" s="1">
        <v>0.77200000000000002</v>
      </c>
      <c r="K913" s="1">
        <v>5</v>
      </c>
      <c r="L913" s="1" t="s">
        <v>14</v>
      </c>
    </row>
    <row r="914" spans="1:12" x14ac:dyDescent="0.25">
      <c r="A914" s="1" t="s">
        <v>1318</v>
      </c>
      <c r="B914" s="1" t="str">
        <f>("235054")</f>
        <v>235054</v>
      </c>
      <c r="C914" s="1" t="str">
        <f>("622454010765")</f>
        <v>622454010765</v>
      </c>
      <c r="D914" s="1">
        <v>463578</v>
      </c>
      <c r="E914" t="s">
        <v>1306</v>
      </c>
      <c r="F914" s="3">
        <v>213.21276595744681</v>
      </c>
      <c r="G914" s="1" t="s">
        <v>13</v>
      </c>
      <c r="H914" s="2">
        <v>44621</v>
      </c>
      <c r="I914" s="1">
        <v>0.45</v>
      </c>
      <c r="J914" s="1">
        <v>0.99199999999999999</v>
      </c>
      <c r="K914" s="1">
        <v>5</v>
      </c>
      <c r="L914" s="1" t="s">
        <v>14</v>
      </c>
    </row>
    <row r="915" spans="1:12" x14ac:dyDescent="0.25">
      <c r="A915" s="1" t="s">
        <v>1318</v>
      </c>
      <c r="B915" s="1" t="str">
        <f>("035976")</f>
        <v>035976</v>
      </c>
      <c r="C915" s="1" t="str">
        <f>("622454359765")</f>
        <v>622454359765</v>
      </c>
      <c r="D915" s="1">
        <v>463582</v>
      </c>
      <c r="E915" t="s">
        <v>1307</v>
      </c>
      <c r="F915" s="3">
        <v>208.7340425531915</v>
      </c>
      <c r="G915" s="1" t="s">
        <v>13</v>
      </c>
      <c r="H915" s="2">
        <v>44621</v>
      </c>
      <c r="I915" s="1">
        <v>0.95299999999999996</v>
      </c>
      <c r="J915" s="1">
        <v>2.101</v>
      </c>
      <c r="K915" s="1">
        <v>5</v>
      </c>
      <c r="L915" s="1" t="s">
        <v>14</v>
      </c>
    </row>
    <row r="916" spans="1:12" x14ac:dyDescent="0.25">
      <c r="A916" s="1" t="s">
        <v>1318</v>
      </c>
      <c r="B916" s="1" t="str">
        <f>("035771")</f>
        <v>035771</v>
      </c>
      <c r="C916" s="1" t="str">
        <f>("622454357716")</f>
        <v>622454357716</v>
      </c>
      <c r="D916" s="1">
        <v>463624</v>
      </c>
      <c r="E916" t="s">
        <v>1308</v>
      </c>
      <c r="F916" s="3">
        <v>239.29787234042556</v>
      </c>
      <c r="G916" s="1" t="s">
        <v>13</v>
      </c>
      <c r="H916" s="2">
        <v>44621</v>
      </c>
      <c r="I916" s="1">
        <v>0.998</v>
      </c>
      <c r="J916" s="1">
        <v>2.2000000000000002</v>
      </c>
      <c r="K916" s="1">
        <v>5</v>
      </c>
      <c r="L916" s="1" t="s">
        <v>14</v>
      </c>
    </row>
    <row r="917" spans="1:12" x14ac:dyDescent="0.25">
      <c r="A917" s="1" t="s">
        <v>1318</v>
      </c>
      <c r="B917" s="1" t="str">
        <f>("235055")</f>
        <v>235055</v>
      </c>
      <c r="C917" s="1" t="str">
        <f>("622454010772")</f>
        <v>622454010772</v>
      </c>
      <c r="D917" s="1">
        <v>464288</v>
      </c>
      <c r="E917" t="s">
        <v>1309</v>
      </c>
      <c r="F917" s="3">
        <v>65.180851063829792</v>
      </c>
      <c r="G917" s="1" t="s">
        <v>13</v>
      </c>
      <c r="H917" s="2">
        <v>44621</v>
      </c>
      <c r="I917" s="1">
        <v>0.11</v>
      </c>
      <c r="J917" s="1">
        <v>0.24299999999999999</v>
      </c>
      <c r="K917" s="1">
        <v>10</v>
      </c>
      <c r="L917" s="1" t="s">
        <v>14</v>
      </c>
    </row>
    <row r="918" spans="1:12" x14ac:dyDescent="0.25">
      <c r="A918" s="1" t="s">
        <v>1318</v>
      </c>
      <c r="B918" s="1" t="str">
        <f>("035993")</f>
        <v>035993</v>
      </c>
      <c r="C918" s="1" t="str">
        <f>("622454359932")</f>
        <v>622454359932</v>
      </c>
      <c r="D918" s="1">
        <v>464337</v>
      </c>
      <c r="E918" t="s">
        <v>1310</v>
      </c>
      <c r="F918" s="3">
        <v>65.180851063829792</v>
      </c>
      <c r="G918" s="1" t="s">
        <v>13</v>
      </c>
      <c r="H918" s="2">
        <v>44621</v>
      </c>
      <c r="I918" s="1">
        <v>0.245</v>
      </c>
      <c r="J918" s="1">
        <v>0.54</v>
      </c>
      <c r="K918" s="1">
        <v>10</v>
      </c>
      <c r="L918" s="1" t="s">
        <v>14</v>
      </c>
    </row>
    <row r="919" spans="1:12" x14ac:dyDescent="0.25">
      <c r="A919" s="1" t="s">
        <v>1318</v>
      </c>
      <c r="B919" s="1" t="str">
        <f>("035772")</f>
        <v>035772</v>
      </c>
      <c r="C919" s="1" t="str">
        <f>("622454357723")</f>
        <v>622454357723</v>
      </c>
      <c r="D919" s="1">
        <v>464419</v>
      </c>
      <c r="E919" t="s">
        <v>1311</v>
      </c>
      <c r="F919" s="3">
        <v>87.053191489361708</v>
      </c>
      <c r="G919" s="1" t="s">
        <v>13</v>
      </c>
      <c r="H919" s="2">
        <v>44621</v>
      </c>
      <c r="I919" s="1">
        <v>0.254</v>
      </c>
      <c r="J919" s="1">
        <v>0.56000000000000005</v>
      </c>
      <c r="K919" s="1">
        <v>10</v>
      </c>
      <c r="L919" s="1" t="s">
        <v>14</v>
      </c>
    </row>
    <row r="920" spans="1:12" x14ac:dyDescent="0.25">
      <c r="A920" s="1" t="s">
        <v>1318</v>
      </c>
      <c r="B920" s="1" t="str">
        <f>("035943")</f>
        <v>035943</v>
      </c>
      <c r="C920" s="1" t="str">
        <f>("622454359437")</f>
        <v>622454359437</v>
      </c>
      <c r="D920" s="1">
        <v>464486</v>
      </c>
      <c r="E920" t="s">
        <v>1312</v>
      </c>
      <c r="F920" s="3">
        <v>108.67021276595746</v>
      </c>
      <c r="G920" s="1" t="s">
        <v>13</v>
      </c>
      <c r="H920" s="2">
        <v>44621</v>
      </c>
      <c r="I920" s="1">
        <v>0.72599999999999998</v>
      </c>
      <c r="J920" s="1">
        <v>1.601</v>
      </c>
      <c r="K920" s="1">
        <v>6</v>
      </c>
      <c r="L920" s="1" t="s">
        <v>14</v>
      </c>
    </row>
    <row r="921" spans="1:12" x14ac:dyDescent="0.25">
      <c r="A921" s="1" t="s">
        <v>1318</v>
      </c>
      <c r="B921" s="1" t="str">
        <f>("035587")</f>
        <v>035587</v>
      </c>
      <c r="C921" s="1" t="str">
        <f>("622454355873")</f>
        <v>622454355873</v>
      </c>
      <c r="D921" s="1">
        <v>464527</v>
      </c>
      <c r="E921" t="s">
        <v>1313</v>
      </c>
      <c r="F921" s="3">
        <v>130.58510638297872</v>
      </c>
      <c r="G921" s="1" t="s">
        <v>13</v>
      </c>
      <c r="H921" s="2">
        <v>44621</v>
      </c>
      <c r="I921" s="1">
        <v>1.2E-2</v>
      </c>
      <c r="J921" s="1">
        <v>2.5999999999999999E-2</v>
      </c>
      <c r="K921" s="1">
        <v>5</v>
      </c>
      <c r="L921" s="1" t="s">
        <v>14</v>
      </c>
    </row>
    <row r="922" spans="1:12" x14ac:dyDescent="0.25">
      <c r="A922" s="1" t="s">
        <v>1318</v>
      </c>
      <c r="B922" s="1" t="str">
        <f>("235056")</f>
        <v>235056</v>
      </c>
      <c r="C922" s="1" t="str">
        <f>("622454010789")</f>
        <v>622454010789</v>
      </c>
      <c r="D922" s="1">
        <v>464532</v>
      </c>
      <c r="E922" t="s">
        <v>1314</v>
      </c>
      <c r="F922" s="3">
        <v>164.37234042553192</v>
      </c>
      <c r="G922" s="1" t="s">
        <v>13</v>
      </c>
      <c r="H922" s="2">
        <v>44621</v>
      </c>
      <c r="I922" s="1">
        <v>0.86</v>
      </c>
      <c r="J922" s="1">
        <v>1.8959999999999999</v>
      </c>
      <c r="K922" s="1">
        <v>5</v>
      </c>
      <c r="L922" s="1" t="s">
        <v>14</v>
      </c>
    </row>
    <row r="923" spans="1:12" x14ac:dyDescent="0.25">
      <c r="A923" s="1" t="s">
        <v>1318</v>
      </c>
      <c r="B923" s="1" t="str">
        <f>("235057")</f>
        <v>235057</v>
      </c>
      <c r="C923" s="1" t="str">
        <f>("622454010796")</f>
        <v>622454010796</v>
      </c>
      <c r="D923" s="1">
        <v>464577</v>
      </c>
      <c r="E923" t="s">
        <v>1315</v>
      </c>
      <c r="F923" s="3">
        <v>194.68085106382981</v>
      </c>
      <c r="G923" s="1" t="s">
        <v>13</v>
      </c>
      <c r="H923" s="2">
        <v>44621</v>
      </c>
      <c r="I923" s="1">
        <v>0.35</v>
      </c>
      <c r="J923" s="1">
        <v>0.77200000000000002</v>
      </c>
      <c r="K923" s="1">
        <v>5</v>
      </c>
      <c r="L923" s="1" t="s">
        <v>14</v>
      </c>
    </row>
    <row r="924" spans="1:12" x14ac:dyDescent="0.25">
      <c r="A924" s="1" t="s">
        <v>1318</v>
      </c>
      <c r="B924" s="1" t="str">
        <f>("035774")</f>
        <v>035774</v>
      </c>
      <c r="C924" s="1" t="str">
        <f>("622454357747")</f>
        <v>622454357747</v>
      </c>
      <c r="D924" s="1">
        <v>464582</v>
      </c>
      <c r="E924" t="s">
        <v>1316</v>
      </c>
      <c r="F924" s="3">
        <v>208.7340425531915</v>
      </c>
      <c r="G924" s="1" t="s">
        <v>13</v>
      </c>
      <c r="H924" s="2">
        <v>44621</v>
      </c>
      <c r="I924" s="1">
        <v>1.0429999999999999</v>
      </c>
      <c r="J924" s="1">
        <v>2.2989999999999999</v>
      </c>
      <c r="K924" s="1">
        <v>5</v>
      </c>
      <c r="L924" s="1" t="s">
        <v>14</v>
      </c>
    </row>
    <row r="925" spans="1:12" x14ac:dyDescent="0.25">
      <c r="A925" s="1" t="s">
        <v>1318</v>
      </c>
      <c r="B925" s="1" t="str">
        <f>("235058")</f>
        <v>235058</v>
      </c>
      <c r="C925" s="1" t="str">
        <f>("622454010802")</f>
        <v>622454010802</v>
      </c>
      <c r="D925" s="1">
        <v>464624</v>
      </c>
      <c r="E925" t="s">
        <v>1317</v>
      </c>
      <c r="F925" s="3">
        <v>239.29787234042556</v>
      </c>
      <c r="G925" s="1" t="s">
        <v>13</v>
      </c>
      <c r="H925" s="2">
        <v>44621</v>
      </c>
      <c r="I925" s="1">
        <v>1</v>
      </c>
      <c r="J925" s="1">
        <v>2.2050000000000001</v>
      </c>
      <c r="K925" s="1">
        <v>5</v>
      </c>
      <c r="L925" s="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PVC40WMIU030122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Kitchen, Dave</dc:creator>
  <cp:lastModifiedBy>Kitchen, Dave</cp:lastModifiedBy>
  <dcterms:created xsi:type="dcterms:W3CDTF">2022-02-18T13:07:02Z</dcterms:created>
  <dcterms:modified xsi:type="dcterms:W3CDTF">2022-02-18T17:40:37Z</dcterms:modified>
</cp:coreProperties>
</file>