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kit\Documents\PDF Price Lists\Industrial Fittings\March 1 2022  40 ftgs\"/>
    </mc:Choice>
  </mc:AlternateContent>
  <bookViews>
    <workbookView xWindow="0" yWindow="0" windowWidth="23835" windowHeight="9030"/>
  </bookViews>
  <sheets>
    <sheet name="PVC40GFIPUS030122" sheetId="1" r:id="rId1"/>
  </sheets>
  <definedNames>
    <definedName name="_xlnm._FilterDatabase" localSheetId="0" hidden="1">PVC40GFIPUS030122!$A$1:$L$232</definedName>
  </definedNames>
  <calcPr calcId="162913"/>
</workbook>
</file>

<file path=xl/calcChain.xml><?xml version="1.0" encoding="utf-8"?>
<calcChain xmlns="http://schemas.openxmlformats.org/spreadsheetml/2006/main"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</calcChain>
</file>

<file path=xl/sharedStrings.xml><?xml version="1.0" encoding="utf-8"?>
<sst xmlns="http://schemas.openxmlformats.org/spreadsheetml/2006/main" count="1158" uniqueCount="469">
  <si>
    <t>List - Id</t>
  </si>
  <si>
    <t>P-Code</t>
  </si>
  <si>
    <t>UPC-Code</t>
  </si>
  <si>
    <t>Universal Number</t>
  </si>
  <si>
    <t>Prod-Desc</t>
  </si>
  <si>
    <t>List Price</t>
  </si>
  <si>
    <t>/Per</t>
  </si>
  <si>
    <t>Eff-Date</t>
  </si>
  <si>
    <t>Unit Wght Kgs</t>
  </si>
  <si>
    <t>Unit Wght Lbs</t>
  </si>
  <si>
    <t>Carton Qty</t>
  </si>
  <si>
    <t>Price Class</t>
  </si>
  <si>
    <t>401005G</t>
  </si>
  <si>
    <t>1/2" PVC SCH40 TEE SOCxSOCxSOC GREY XIRTEC PVC</t>
  </si>
  <si>
    <t>/1</t>
  </si>
  <si>
    <t>035DD</t>
  </si>
  <si>
    <t>401007G</t>
  </si>
  <si>
    <t>3/4" PVC SCH40 TEE SOCxSOCxSOC GREY XIRTEC PVC</t>
  </si>
  <si>
    <t>401010G</t>
  </si>
  <si>
    <t>1" PVC SCH40 TEE SOCxSOCxSOC GREY XIRTEC PVC</t>
  </si>
  <si>
    <t>401012G</t>
  </si>
  <si>
    <t>1 1/4" PVC SCH40 TEE SOCxSOCxSOC GREY XIRTEC PVC</t>
  </si>
  <si>
    <t>401015G</t>
  </si>
  <si>
    <t>1 1/2" PVC SCH40 TEE SOCxSOCxSOC GREY XIRTEC PVC</t>
  </si>
  <si>
    <t>401020G</t>
  </si>
  <si>
    <t>2" PVC SCH40 TEE SOCxSOCxSOC GREY XIRTEC PVC</t>
  </si>
  <si>
    <t>401025G</t>
  </si>
  <si>
    <t>2 1/2" PVC SCH40 TEE SOCxSOCxSOC GREY XIRTEC PVC</t>
  </si>
  <si>
    <t>401030G</t>
  </si>
  <si>
    <t>3" PVC SCH40 TEE SOCxSOCxSOC GREY XIRTEC PVC</t>
  </si>
  <si>
    <t>401040G</t>
  </si>
  <si>
    <t>4" PVC SCH40 TEE SOCxSOCxSOC GREY XIRTEC PVC</t>
  </si>
  <si>
    <t>401050G</t>
  </si>
  <si>
    <t>5" PVC SCH40 TEE SOCxSOCxSOC GREY XIRTEC PVC</t>
  </si>
  <si>
    <t>401060G</t>
  </si>
  <si>
    <t>6" PVC SCH40 TEE SOCxSOCxSOC GREY XIRTEC PVC</t>
  </si>
  <si>
    <t>401080G</t>
  </si>
  <si>
    <t>8" PVC SCH40 TEE SOCxSOCxSOC GREY XIRTEC PVC</t>
  </si>
  <si>
    <t>401101G</t>
  </si>
  <si>
    <t>3/4"x1/2" PVC SCH40 RED. TEE SOCxSOCxSOC GREY XIRTEC PVC</t>
  </si>
  <si>
    <t>401130G</t>
  </si>
  <si>
    <t>1"x1/2" PVC SCH40 RED. TEE SOCxSOCxSOC GREY XIRTEC PVC</t>
  </si>
  <si>
    <t>401131G</t>
  </si>
  <si>
    <t>1"x3/4" PVC SCH40 RED. TEE SOCxSOCxSOC GREY XIRTEC PVC</t>
  </si>
  <si>
    <t>401166G</t>
  </si>
  <si>
    <t>1 1/4"x1/2" PVC SCH40 RED. TEE SOCxSOCxSOC GREYXIRTEC PVC</t>
  </si>
  <si>
    <t>401167G</t>
  </si>
  <si>
    <t>1 1/4"x3/4" PVC SCH40 RED. TEE SOCxSOCxSOC GREYXIRTEC PVC</t>
  </si>
  <si>
    <t>401168G</t>
  </si>
  <si>
    <t>1 1/4"x1" PVC SCH40 RED. TEE SOCxSOCxSOC GREY XIRTEC PVC</t>
  </si>
  <si>
    <t>401209G</t>
  </si>
  <si>
    <t>1 1/2"x1/2" PVC SCH40 RED. TEE SOCxSOCxSOC GREYXIRTEC PVC</t>
  </si>
  <si>
    <t>401210G</t>
  </si>
  <si>
    <t>1 1/2"x3/4" PVC SCH40 RED. TEE SOCxSOCxSOC GREYXIRTEC PVC</t>
  </si>
  <si>
    <t>401211G</t>
  </si>
  <si>
    <t>1 1/2"x1" PVC SCH40 RED. TEE SOCxSOCxSOC GREY XIRTEC PVC</t>
  </si>
  <si>
    <t>401212G</t>
  </si>
  <si>
    <t>1 1/2"x1 1/4" PVC SCH40 RED. TEE SOCxSOCxSOC GREYXIRTEC PVC</t>
  </si>
  <si>
    <t>401247G</t>
  </si>
  <si>
    <t>2"x1/2" PVC SCH40 RED. TEE SOCxSOCxSOC GREY XIRTEC PVC</t>
  </si>
  <si>
    <t>401248G</t>
  </si>
  <si>
    <t>2"x3/4" PVC SCH40 RED. TEE SOCxSOCxSOC GREY XIRTEC PVC</t>
  </si>
  <si>
    <t>401249G</t>
  </si>
  <si>
    <t>2"x1" PVC SCH40 RED. TEE SOCxSOCxSOC GREY XIRTEC PVC</t>
  </si>
  <si>
    <t>401251G</t>
  </si>
  <si>
    <t>2"x1 1/2" PVC SCH40 RED. TEE SOCxSOCxSOC GREY XIRTEC PVC</t>
  </si>
  <si>
    <t>401337G</t>
  </si>
  <si>
    <t>3"x1 1/2" PVC SCH40 RED. TEE SOCxSOCxSOC GREY XIRTEC PVC</t>
  </si>
  <si>
    <t>401338G</t>
  </si>
  <si>
    <t>3"x2" PVC SCH40 RED. TEE SOCxSOCxSOC GREY XIRTEC PVC</t>
  </si>
  <si>
    <t>401420G</t>
  </si>
  <si>
    <t>4"x2" PVC SCH40 RED. TEE SOCxSOCxSOC GREY XIRTEC PVC</t>
  </si>
  <si>
    <t>401422G</t>
  </si>
  <si>
    <t>4"x3" PVC SCH40 RED. TEE SOCxSOCxSOC GREY XIRTEC PVC</t>
  </si>
  <si>
    <t>401530G</t>
  </si>
  <si>
    <t>6"x3" PVC SCH40 RED. TEE SOCxSOCxSOC GREY XIRTEC PVC</t>
  </si>
  <si>
    <t>401532G</t>
  </si>
  <si>
    <t>6"x4" PVC SCH40 RED. TEE SOCxSOCxSOC GREY XIRTEC PVC</t>
  </si>
  <si>
    <t>402101G</t>
  </si>
  <si>
    <t>3/4"x1/2" PVC SCH40 RED. TEE SOCxSOCxFPT GREY XIRTEC PVC</t>
  </si>
  <si>
    <t>402131G</t>
  </si>
  <si>
    <t>1"x3/4" PVC SCH40 RED. TEE SOCxSOCxFPT GREY XIRTEC PVC</t>
  </si>
  <si>
    <t>402166G</t>
  </si>
  <si>
    <t>1 1/4"x1/2" PVC SCH40 RED. TEE SOCxSOCxFPT GREYXIRTEC PVC</t>
  </si>
  <si>
    <t>402167G</t>
  </si>
  <si>
    <t>1 1/4"x3/4" PVC SCH40 RED. TEE SOCxSOCxFPT GREYXIRTEC PVC</t>
  </si>
  <si>
    <t>402209G</t>
  </si>
  <si>
    <t>1 1/2"x1/2" PVC SCH40 RED. TEE SOCxSOCxFPT GREYXIRTEC PVC</t>
  </si>
  <si>
    <t>402210G</t>
  </si>
  <si>
    <t>1 1/2"x3/4" PVC SCH40 RED. TEE SOCxSOCxFPT GREYXIRTEC PVC</t>
  </si>
  <si>
    <t>402211G</t>
  </si>
  <si>
    <t>1 1/2"x1" PVC SCH40 RED. TEE SOCxSOCxFPT GREY XIRTEC PVC</t>
  </si>
  <si>
    <t>402248G</t>
  </si>
  <si>
    <t>2"x3/4" PVC SCH40 RED. TEE SOCxSOCxFPT GREY XIRTEC PVC</t>
  </si>
  <si>
    <t>402249G</t>
  </si>
  <si>
    <t>2"x1" PVC SCH40 RED. TEE SOCxSOCxFPT GREY XIRTEC PVC</t>
  </si>
  <si>
    <t>406003G</t>
  </si>
  <si>
    <t>3/8"x90D PVC SCH40 ELBOW SOCxSOC GREY XIRTEC PVC</t>
  </si>
  <si>
    <t>406005G</t>
  </si>
  <si>
    <t>1/2"x90D PVC SCH40 ELBOW SOCxSOC GREY XIRTEC PVC</t>
  </si>
  <si>
    <t>406007G</t>
  </si>
  <si>
    <t>3/4"x90D PVC SCH40 ELBOW SOCxSOC GREY XIRTEC PVC</t>
  </si>
  <si>
    <t>406010G</t>
  </si>
  <si>
    <t>1"x90D PVC SCH40 ELBOW SOCxSOC GREY XIRTEC PVC</t>
  </si>
  <si>
    <t>406012G</t>
  </si>
  <si>
    <t>1 1/4"x90D PVC SCH40 ELBOW SOCxSOC GREY XIRTECPVC</t>
  </si>
  <si>
    <t>406015G</t>
  </si>
  <si>
    <t>1 1/2"x90D PVC SCH40 ELBOW SOCxSOC GREY XIRTECPVC</t>
  </si>
  <si>
    <t>406020G</t>
  </si>
  <si>
    <t>2"x90D PVC SCH40 ELBOW SOCxSOC GREY XIRTEC PVC</t>
  </si>
  <si>
    <t>406025G</t>
  </si>
  <si>
    <t>2 1/2"x90D PVC SCH40 ELBOW SOCxSOC GREY XIRTECPVC</t>
  </si>
  <si>
    <t>406030G</t>
  </si>
  <si>
    <t>3"x90D PVC SCH40 ELBOW SOCxSOC GREY XIRTEC PVC</t>
  </si>
  <si>
    <t>406040G</t>
  </si>
  <si>
    <t>4"x90D PVC SCH40 ELBOW SOCxSOC GREY XIRTEC PVC</t>
  </si>
  <si>
    <t>406050G</t>
  </si>
  <si>
    <t>5"x90D PVC SCH40 ELBOW SOCxSOC GREY XIRTEC PVC</t>
  </si>
  <si>
    <t>406060G</t>
  </si>
  <si>
    <t>6"x90D PVC SCH40 ELBOW SOCxSOC GREY XIRTEC PVC</t>
  </si>
  <si>
    <t>406080G</t>
  </si>
  <si>
    <t>8"x90D PVC SCH40 ELBOW SOCxSOC GREY XIRTEC PVC</t>
  </si>
  <si>
    <t>407005G</t>
  </si>
  <si>
    <t>1/2"x90D PVC SCH40 ELBOW SOCxFPT GREY XIRTEC PVC</t>
  </si>
  <si>
    <t>407007G</t>
  </si>
  <si>
    <t>3/4"x90D PVC SCH40 ELBOW SOCxFPT GREY XIRTEC PVC</t>
  </si>
  <si>
    <t>407010G</t>
  </si>
  <si>
    <t>1"x90D PVC SCH40 ELBOW SOCxFPT GREY XIRTEC PVC</t>
  </si>
  <si>
    <t>407012G</t>
  </si>
  <si>
    <t>1 1/4"x90D PVC SCH40 ELBOW SOCxFPT GREY XIRTECPVC</t>
  </si>
  <si>
    <t>407015G</t>
  </si>
  <si>
    <t>1 1/2"x90D PVC SCH40 ELBOW SOCxFPT GREY XIRTECPVC</t>
  </si>
  <si>
    <t>407020G</t>
  </si>
  <si>
    <t>2"x90D PVC SCH40 ELBOW SOCxFPT GREY XIRTEC PVC</t>
  </si>
  <si>
    <t>408005G</t>
  </si>
  <si>
    <t>1/2"x90D PVC SCH40 ELBOW FPTxFPT GREY XIRTEC PVC</t>
  </si>
  <si>
    <t>408007G</t>
  </si>
  <si>
    <t>3/4"x90D PVC SCH40 ELBOW FPTxFPT GREY XIRTEC PVC</t>
  </si>
  <si>
    <t>408010G</t>
  </si>
  <si>
    <t>1"x90D PVC SCH40 ELBOW FPTxFPT GREY XIRTEC PVC</t>
  </si>
  <si>
    <t>409010G</t>
  </si>
  <si>
    <t>1"x90D PVC SCH40 STREET ELBOW SPxSOC GREY XIRTEC PVC</t>
  </si>
  <si>
    <t>409015G</t>
  </si>
  <si>
    <t>1 1/2"x90D PVC SCH40 STREET ELBOW SPxSOC GREY XIRTEC PVC</t>
  </si>
  <si>
    <t>412005G</t>
  </si>
  <si>
    <t>1/2"x90D PVC SCH40 STREETELBOW MPTxFPT GREY XIRTECPVC</t>
  </si>
  <si>
    <t>412007G</t>
  </si>
  <si>
    <t>3/4"x90D PVC SCH40 STREETELBOW MPTxFPT GREY XIRTECPVC</t>
  </si>
  <si>
    <t>412010G</t>
  </si>
  <si>
    <t>1"x90D PVC SCH40 STREET ELBOW MPTxFPT GREY XIRTECPVC</t>
  </si>
  <si>
    <t>412015G</t>
  </si>
  <si>
    <t>1 1/2"x90D PVC SCH40 STREET ELBOW MPTxFPT GREYXIRTEC PVC</t>
  </si>
  <si>
    <t>417005G</t>
  </si>
  <si>
    <t>1/2"x45D PVC SCH40 ELBOW SOCxSOC GREY XIRTEC PVC</t>
  </si>
  <si>
    <t>417007G</t>
  </si>
  <si>
    <t>3/4"x45D PVC SCH40 ELBOW SOCxSOC GREY XIRTEC PVC</t>
  </si>
  <si>
    <t>417010G</t>
  </si>
  <si>
    <t>1"x45D PVC SCH40 ELBOW SOCxSOC GREY XIRTEC PVC</t>
  </si>
  <si>
    <t>417012G</t>
  </si>
  <si>
    <t>1 1/4"x45D PVC SCH40 ELBOW SOCxSOC GREY XIRTECPVC</t>
  </si>
  <si>
    <t>417015G</t>
  </si>
  <si>
    <t>1 1/2"x45D PVC SCH40 ELBOW SOCxSOC GREY XIRTECPVC</t>
  </si>
  <si>
    <t>417020G</t>
  </si>
  <si>
    <t>2"x45D PVC SCH40 ELBOW SOCxSOC GREY XIRTEC PVC</t>
  </si>
  <si>
    <t>417025G</t>
  </si>
  <si>
    <t>2 1/2"x45D PVC SCH40 ELBOW SOCxSOC GREY XIRTECPVC</t>
  </si>
  <si>
    <t>417030G</t>
  </si>
  <si>
    <t>3"x45D PVC SCH40 ELBOW SOCxSOC GREY XIRTEC PVC</t>
  </si>
  <si>
    <t>417040G</t>
  </si>
  <si>
    <t>4"x45D PVC SCH40 ELBOW SOCxSOC GREY XIRTEC PVC</t>
  </si>
  <si>
    <t>417050G</t>
  </si>
  <si>
    <t>5"x45D PVC SCH40 ELBOW SOCxSOC GREY XIRTEC PVC</t>
  </si>
  <si>
    <t>417060G</t>
  </si>
  <si>
    <t>6"x45D PVC SCH40 ELBOW SOCxSOC GREY XIRTEC PVC</t>
  </si>
  <si>
    <t>417080G</t>
  </si>
  <si>
    <t>8"x45D PVC SCH40 ELBOW SOCxSOC GREY XIRTEC PVC</t>
  </si>
  <si>
    <t>447003G</t>
  </si>
  <si>
    <t>3/8" PVC SCH40 CAP SOC GREY XIRTEC PVC</t>
  </si>
  <si>
    <t>447005G</t>
  </si>
  <si>
    <t>1/2" PVC SCH40 CAP SOC GREY XIRTEC PVC</t>
  </si>
  <si>
    <t>447007G</t>
  </si>
  <si>
    <t>3/4" PVC SCH40 CAP SOC GREY XIRTEC PVC</t>
  </si>
  <si>
    <t>447010G</t>
  </si>
  <si>
    <t>1" PVC SCH40 CAP SOC GREYXIRTEC PVC</t>
  </si>
  <si>
    <t>447012G</t>
  </si>
  <si>
    <t>1 1/4" PVC SCH40 CAP SOC GREY XIRTEC PVC</t>
  </si>
  <si>
    <t>447015G</t>
  </si>
  <si>
    <t>1 1/2" PVC SCH40 CAP SOC GREY XIRTEC PVC</t>
  </si>
  <si>
    <t>447020G</t>
  </si>
  <si>
    <t>2" PVC SCH40 CAP SOC GREYXIRTEC PVC</t>
  </si>
  <si>
    <t>447025G</t>
  </si>
  <si>
    <t>2 1/2" PVC SCH40 CAP SOC GREY XIRTEC PVC</t>
  </si>
  <si>
    <t>447030G</t>
  </si>
  <si>
    <t>3" PVC SCH40 CAP SOC GREYXIRTEC PVC</t>
  </si>
  <si>
    <t>447040G</t>
  </si>
  <si>
    <t>4" PVC SCH40 CAP SOC GREYXIRTEC PVC</t>
  </si>
  <si>
    <t>447050G</t>
  </si>
  <si>
    <t>5" PVC SCH40 CAP SOC GREYXIRTEC PVC</t>
  </si>
  <si>
    <t>447060G</t>
  </si>
  <si>
    <t>6" PVC SCH40 CAP SOC GREYXIRTEC PVC</t>
  </si>
  <si>
    <t>447080G</t>
  </si>
  <si>
    <t>8" PVC SCH40 CAP SOC GREYXIRTEC PVC</t>
  </si>
  <si>
    <t>448005G</t>
  </si>
  <si>
    <t>1/2" PVC SCH40 CAP FPT GREY XIRTEC PVC</t>
  </si>
  <si>
    <t>448007G</t>
  </si>
  <si>
    <t>3/4" PVC SCH40 CAP FPT GREY XIRTEC PVC</t>
  </si>
  <si>
    <t>448010G</t>
  </si>
  <si>
    <t>1" PVC SCH40 CAP FPT GREYXIRTEC PVC</t>
  </si>
  <si>
    <t>448012G</t>
  </si>
  <si>
    <t>1 1/4" PVC SCH40 CAP FPT GREY XIRTEC PVC</t>
  </si>
  <si>
    <t>448015G</t>
  </si>
  <si>
    <t>1 1/2" PVC SCH40 CAP FPT GREY XIRTEC PVC</t>
  </si>
  <si>
    <t>448020G</t>
  </si>
  <si>
    <t>2" PVC SCH40 CAP FPT GREYXIRTEC PVC</t>
  </si>
  <si>
    <t>448030G</t>
  </si>
  <si>
    <t>3" PVC SCH40 CAP FPT GREYXIRTEC PVC</t>
  </si>
  <si>
    <t>448040G</t>
  </si>
  <si>
    <t>4" PVC SCH40 CAP FPT GREYXIRTEC PVC</t>
  </si>
  <si>
    <t>449005G</t>
  </si>
  <si>
    <t>1/2" PVC SCH40 PLUG SP GREY XIRTEC PVC</t>
  </si>
  <si>
    <t>449007G</t>
  </si>
  <si>
    <t>3/4" PVC SCH40 PLUG SP GREY XIRTEC PVC</t>
  </si>
  <si>
    <t>449010G</t>
  </si>
  <si>
    <t>1" PVC SCH40 PLUG SP GREYXIRTEC PVC</t>
  </si>
  <si>
    <t>449012G</t>
  </si>
  <si>
    <t>1 1/4" PVC SCH40 PLUG SP GREY XIRTEC PVC</t>
  </si>
  <si>
    <t>449015G</t>
  </si>
  <si>
    <t>1 1/2" PVC SCH40 PLUG SP GREY XIRTEC PVC</t>
  </si>
  <si>
    <t>449020G</t>
  </si>
  <si>
    <t>2" PVC SCH40 PLUG SP GREYXIRTEC PVC</t>
  </si>
  <si>
    <t>449030G</t>
  </si>
  <si>
    <t>3" PVC SCH40 PLUG SP GREYXIRTEC PVC</t>
  </si>
  <si>
    <t>450005G</t>
  </si>
  <si>
    <t>1/2" PVC SCH40 PLUG MPT GREY XIRTEC PVC</t>
  </si>
  <si>
    <t>450007G</t>
  </si>
  <si>
    <t>3/4" PVC SCH40 PLUG MPT GREY XIRTEC PVC</t>
  </si>
  <si>
    <t>450010G</t>
  </si>
  <si>
    <t>1" PVC SCH40 PLUG MPT GREY XIRTEC PVC</t>
  </si>
  <si>
    <t>450012G</t>
  </si>
  <si>
    <t>1 1/4" PVC SCH40 PLUG MPTGREY XIRTEC PVC</t>
  </si>
  <si>
    <t>450015G</t>
  </si>
  <si>
    <t>1 1/2" PVC SCH40 PLUG MPTGREY XIRTEC PVC</t>
  </si>
  <si>
    <t>450020G</t>
  </si>
  <si>
    <t>2" PVC SCH40 PLUG MPT GREY XIRTEC PVC</t>
  </si>
  <si>
    <t>450025G</t>
  </si>
  <si>
    <t>2 1/2" PVC SCH40 PLUG MPTGREY XIRTEC PVC</t>
  </si>
  <si>
    <t>450030G</t>
  </si>
  <si>
    <t>3" PVC SCH40 PLUG MPT GREY XIRTEC PVC</t>
  </si>
  <si>
    <t>450040G</t>
  </si>
  <si>
    <t>4" PVC SCH40 PLUG MPT GREY XIRTEC PVC</t>
  </si>
  <si>
    <t>429005G</t>
  </si>
  <si>
    <t>1/2" PVC SCH40 COUPLING SOCxSOC GREY XIRTEC PVC</t>
  </si>
  <si>
    <t>429007G</t>
  </si>
  <si>
    <t>3/4" PVC SCH40 COUPLING SOCxSOC GREY XIRTEC PVC</t>
  </si>
  <si>
    <t>429010G</t>
  </si>
  <si>
    <t>1" PVC SCH40 COUPLING SOCxSOC GREY XIRTEC PVC</t>
  </si>
  <si>
    <t>429012G</t>
  </si>
  <si>
    <t>1 1/4" PVC SCH40 COUPLINGSOCxSOC GREY XIRTEC PVC</t>
  </si>
  <si>
    <t>429015G</t>
  </si>
  <si>
    <t>1 1/2" PVC SCH40 COUPLINGSOCxSOC GREY XIRTEC PVC</t>
  </si>
  <si>
    <t>429020G</t>
  </si>
  <si>
    <t>2" PVC SCH40 COUPLING SOCxSOC GREY XIRTEC PVC</t>
  </si>
  <si>
    <t>429025G</t>
  </si>
  <si>
    <t>2 1/2" PVC SCH40 COUPLINGSOCxSOC GREY XIRTEC PVC</t>
  </si>
  <si>
    <t>429030G</t>
  </si>
  <si>
    <t>3" PVC SCH40 COUPLING SOCxSOC GREY XIRTEC PVC</t>
  </si>
  <si>
    <t>429040G</t>
  </si>
  <si>
    <t>4" PVC SCH40 COUPLING SOCxSOC GREY XIRTEC PVC</t>
  </si>
  <si>
    <t>429050G</t>
  </si>
  <si>
    <t>5" PVC SCH40 COUPLING SOCxSOC GREY XIRTEC PVC</t>
  </si>
  <si>
    <t>429060G</t>
  </si>
  <si>
    <t>6" PVC SCH40 COUPLING SOCxSOC GREY XIRTEC PVC</t>
  </si>
  <si>
    <t>429080G</t>
  </si>
  <si>
    <t>8" PVC SCH40 COUPLING SOCxSOC GREY XIRTEC PVC</t>
  </si>
  <si>
    <t>436005G</t>
  </si>
  <si>
    <t>1/2" PVC SCH40 MALE ADPT MPTxSOC GREY XIRTEC PVC</t>
  </si>
  <si>
    <t>436007G</t>
  </si>
  <si>
    <t>3/4" PVC SCH40 MALE ADPT MPTxSOC GREY XIRTEC PVC</t>
  </si>
  <si>
    <t>436010G</t>
  </si>
  <si>
    <t>1" PVC SCH40 MALE ADPT MPTxSOC GREY XIRTEC PVC</t>
  </si>
  <si>
    <t>436012G</t>
  </si>
  <si>
    <t>1 1/4" PVC SCH40 MALE ADPT MPTxSOC GREY XIRTEC PVC</t>
  </si>
  <si>
    <t>436015G</t>
  </si>
  <si>
    <t>1 1/2" PVC SCH40 MALE ADPT MPTxSOC GREY XIRTEC PVC</t>
  </si>
  <si>
    <t>436020G</t>
  </si>
  <si>
    <t>2" PVC SCH40 MALE ADPT MPTxSOC GREY XIRTEC PVC</t>
  </si>
  <si>
    <t>436025G</t>
  </si>
  <si>
    <t>2 1/2" PVC SCH40 MALE ADPT MPTxSOC GREY XIRTEC PVC</t>
  </si>
  <si>
    <t>436030G</t>
  </si>
  <si>
    <t>3" PVC SCH40 MALE ADPT MPTxSOC GREY XIRTEC PVC</t>
  </si>
  <si>
    <t>436040G</t>
  </si>
  <si>
    <t>4" PVC SCH40 MALE ADPT MPTxSOC GREY XIRTEC PVC</t>
  </si>
  <si>
    <t>436050G</t>
  </si>
  <si>
    <t>5" PVC SCH40 MALE ADPT MPTxSOC GREY XIRTEC PVC</t>
  </si>
  <si>
    <t>436060G</t>
  </si>
  <si>
    <t>6" PVC SCH40 MALE ADPT MPTxSOC GREY XIRTEC PVC</t>
  </si>
  <si>
    <t>435005G</t>
  </si>
  <si>
    <t>1/2" PVC SCH40 FEMALE ADPT SOCxFPT GREY XIRTEC PVC</t>
  </si>
  <si>
    <t>435007G</t>
  </si>
  <si>
    <t>3/4" PVC SCH40 FEMALE ADPT SOCxFPT GREY XIRTEC PVC</t>
  </si>
  <si>
    <t>435010G</t>
  </si>
  <si>
    <t>1" PVC SCH40 FEMALE ADPT SOCxFPT GREY XIRTEC PVC</t>
  </si>
  <si>
    <t>435012G</t>
  </si>
  <si>
    <t>1 1/4" PVC SCH40 FEMALE ADPT SOCxFPT GREY XIRTEC PVC</t>
  </si>
  <si>
    <t>435015G</t>
  </si>
  <si>
    <t>1 1/2" PVC SCH40 FEMALE ADPT SOCxFPT GREY XIRTEC PVC</t>
  </si>
  <si>
    <t>435020G</t>
  </si>
  <si>
    <t>2" PVC SCH40 FEMALE ADPT SOCxFPT GREY XIRTEC PVC</t>
  </si>
  <si>
    <t>435025G</t>
  </si>
  <si>
    <t>2 1/2" PVC SCH40 FEMALE ADPT SOCxFPT GREY XIRTEC PVC</t>
  </si>
  <si>
    <t>435030G</t>
  </si>
  <si>
    <t>3" PVC SCH40 FEMALE ADPT SOCxFPT GREY XIRTEC PVC</t>
  </si>
  <si>
    <t>435040G</t>
  </si>
  <si>
    <t>4" PVC SCH40 FEMALE ADPT SOCxFPT GREY XIRTEC PVC</t>
  </si>
  <si>
    <t>435050G</t>
  </si>
  <si>
    <t>5" PVC SCH40 FEMALE ADPT SOCxFPT GREY XIRTEC PVC</t>
  </si>
  <si>
    <t>435060G</t>
  </si>
  <si>
    <t>6" PVC SCH40 FEMALE ADPT SOCxFPT GREY XIRTEC PVC</t>
  </si>
  <si>
    <t>478005G</t>
  </si>
  <si>
    <t>1/2" PVC SCH40 FEMALE ADPT SPxFPT GREY XIRTEC PVC</t>
  </si>
  <si>
    <t>478007G</t>
  </si>
  <si>
    <t>3/4" PVC SCH40 FEMALE ADPT SPxFPT GREY XIRTEC PVC</t>
  </si>
  <si>
    <t>478010G</t>
  </si>
  <si>
    <t>1" PVC SCH40 FEMALE ADPT SPxFPT GREY XIRTEC PVC</t>
  </si>
  <si>
    <t>478012G</t>
  </si>
  <si>
    <t>1 1/4" PVC SCH40 FEMALE ADPT SPxFPT GREY XIRTEC PVC</t>
  </si>
  <si>
    <t>478015G</t>
  </si>
  <si>
    <t>1 1/2" PVC SCH40 FEMALE ADPT SPxFPT GREY XIRTEC PVC</t>
  </si>
  <si>
    <t>478020G</t>
  </si>
  <si>
    <t>2" PVC SCH40 FEMALE ADPT SPxFPT GREY XIRTEC PVC</t>
  </si>
  <si>
    <t>478030G</t>
  </si>
  <si>
    <t>3" PVC SCH40 FEMALE ADPT SPxFPT GREY XIRTEC PVC</t>
  </si>
  <si>
    <t>478040G</t>
  </si>
  <si>
    <t>4" PVC SCH40 FEMALE ADPT SPxFPT GREY XIRTEC PVC</t>
  </si>
  <si>
    <t>420005G</t>
  </si>
  <si>
    <t>1/2" PVC SCH40 CROSS SOCxSOCxSOCxSOC GREY XIRTEC PVC</t>
  </si>
  <si>
    <t>420007G</t>
  </si>
  <si>
    <t>3/4" PVC SCH40 CROSS SOCxSOCxSOCxSOC GREY XIRTEC PVC</t>
  </si>
  <si>
    <t>420010G</t>
  </si>
  <si>
    <t>1" PVC SCH40 CROSS SOCxSOCxSOCxSOC GREY XIRTEC PVC</t>
  </si>
  <si>
    <t>420012G</t>
  </si>
  <si>
    <t>1 1/4" PVC SCH40 CROSS SOCxSOCxSOCxSOC GREY XIRTEC PVC</t>
  </si>
  <si>
    <t>420015G</t>
  </si>
  <si>
    <t>1 1/2" PVC SCH40 CROSS SOCxSOCxSOCxSOC GREY XIRTEC PVC</t>
  </si>
  <si>
    <t>420020G</t>
  </si>
  <si>
    <t>2" PVC SCH40 CROSS SOCxSOCxSOCxSOC GREY XIRTEC PVC</t>
  </si>
  <si>
    <t>420025G</t>
  </si>
  <si>
    <t>2 1/2" PVC SCH40 CROSS SOCxSOCxSOCxSOC GREY XIRTEC PVC</t>
  </si>
  <si>
    <t>420030G</t>
  </si>
  <si>
    <t>3" PVC SCH40 CROSS SOCxSOCxSOCxSOC GREY XIRTEC PVC</t>
  </si>
  <si>
    <t>420040G</t>
  </si>
  <si>
    <t>4" PVC SCH40 CROSS SOCxSOCxSOCxSOC GREY XIRTEC PVC</t>
  </si>
  <si>
    <t>1/2" PVC SCH40 HOSE ADPT INSERTxMPT GREY XIRTEC PVC</t>
  </si>
  <si>
    <t>035DF</t>
  </si>
  <si>
    <t>3/4" PVC SCH40 HOSE ADPT INSERTxMPT GREY XIRTEC PVC</t>
  </si>
  <si>
    <t>1" PVC SCH40 HOSE ADPT INSERTxMPT GREY XIRTEC PVC</t>
  </si>
  <si>
    <t>1 1/4" PVC SCH40 HOSE ADPT INSERTxMPT GREY XIRTEC PVC</t>
  </si>
  <si>
    <t>1 1/2" PVC SCH40 HOSE ADPT INSERTxMPT GREY XIRTEC PVC</t>
  </si>
  <si>
    <t>2" PVC SCH40 HOSE ADPT INSERTxMPT GREY XIRTEC PVC</t>
  </si>
  <si>
    <t>2 1/2" PVC SCH40 HOSE ADPT INSERTxMPT GREY XIRTEC PVC</t>
  </si>
  <si>
    <t>3" PVC SCH40 HOSE ADPT INSERTxMPT GREY XIRTEC PVC</t>
  </si>
  <si>
    <t>4" PVC SCH40 HOSE ADPT INSERTxMPT GREY XIRTEC PVC</t>
  </si>
  <si>
    <t>437101G</t>
  </si>
  <si>
    <t>3/4"x1/2" PVC SCH40 RED. BUSHING SPxSOC GREY XIRTEC PVC</t>
  </si>
  <si>
    <t>437130G</t>
  </si>
  <si>
    <t>1"x1/2" PVC SCH40 RED. BUSHING SPxSOC GREY XIRTEC PVC</t>
  </si>
  <si>
    <t>437131G</t>
  </si>
  <si>
    <t>1"x3/4" PVC SCH40 RED. BUSHING SPxSOC GREY XIRTEC PVC</t>
  </si>
  <si>
    <t>437166G</t>
  </si>
  <si>
    <t>1 1/4"x1/2" PVC SCH40 RED. BUSHING SPxSOC GREY XIRTEC PVC</t>
  </si>
  <si>
    <t>437167G</t>
  </si>
  <si>
    <t>1 1/4"x3/4" PVC SCH40 RED. BUSHING SPxSOC GREY XIRTEC PVC</t>
  </si>
  <si>
    <t>437168G</t>
  </si>
  <si>
    <t>1 1/4"x1" PVC SCH40 RED. BUSHING SPxSOC GREY XIRTEC PVC</t>
  </si>
  <si>
    <t>437209G</t>
  </si>
  <si>
    <t>1 1/2"x1/2" PVC SCH40 RED. BUSHING SPxSOC GREY XIRTEC PVC</t>
  </si>
  <si>
    <t>437210G</t>
  </si>
  <si>
    <t>1 1/2"x3/4" PVC SCH40 RED. BUSHING SPxSOC GREY XIRTEC PVC</t>
  </si>
  <si>
    <t>437211G</t>
  </si>
  <si>
    <t>1 1/2"x1" PVC SCH40 RED. BUSHING SPxSOC GREY XIRTEC PVC</t>
  </si>
  <si>
    <t>437212G</t>
  </si>
  <si>
    <t>1 1/2"x1 1/4" PVC SCH40 RED. BUSHING SPxSOC GREY XIRTEC PVC</t>
  </si>
  <si>
    <t>437247G</t>
  </si>
  <si>
    <t>2"x1/2" PVC SCH40 RED. BUSHING SPxSOC GREY XIRTEC PVC</t>
  </si>
  <si>
    <t>437248G</t>
  </si>
  <si>
    <t>2"x3/4" PVC SCH40 RED. BUSHING SPxSOC GREY XIRTEC PVC</t>
  </si>
  <si>
    <t>437249G</t>
  </si>
  <si>
    <t>2"x1" PVC SCH40 RED. BUSHING SPxSOC GREY XIRTEC PVC</t>
  </si>
  <si>
    <t>437250G</t>
  </si>
  <si>
    <t>2"x1 1/4" PVC SCH40 RED. BUSHING SPxSOC GREY XIRTEC PVC</t>
  </si>
  <si>
    <t>437251G</t>
  </si>
  <si>
    <t>2"x1 1/2" PVC SCH40 RED. BUSHING SPxSOC GREY XIRTEC PVC</t>
  </si>
  <si>
    <t>437290G</t>
  </si>
  <si>
    <t>2 1/2"x1 1/4" PVC SCH40 RED. BUSHING SPxSOC GREY XIRTEC PVC</t>
  </si>
  <si>
    <t>437291G</t>
  </si>
  <si>
    <t>2 1/2"x1 1/2" PVC SCH40 RED. BUSHING SPxSOC GREY XIRTEC PVC</t>
  </si>
  <si>
    <t>437292G</t>
  </si>
  <si>
    <t>2 1/2"x2" PVC SCH40 RED. BUSHING SPxSOC GREY XIRTEC PVC</t>
  </si>
  <si>
    <t>437335G</t>
  </si>
  <si>
    <t>3"x1" PVC SCH40 RED. BUSHING SPxSOC GREY XIRTEC PVC</t>
  </si>
  <si>
    <t>437336G</t>
  </si>
  <si>
    <t>3"x1 1/4" PVC SCH40 RED. BUSHING SPxSOC GREY XIRTEC PVC</t>
  </si>
  <si>
    <t>437337G</t>
  </si>
  <si>
    <t>3"x1 1/2" PVC SCH40 RED. BUSHING SPxSOC GREY XIRTEC PVC</t>
  </si>
  <si>
    <t>437338G</t>
  </si>
  <si>
    <t>3"x2" PVC SCH40 RED. BUSHING SPxSOC GREY XIRTEC PVC</t>
  </si>
  <si>
    <t>437339G</t>
  </si>
  <si>
    <t>3"x2 1/2" PVC SCH40 RED. BUSHING SPxSOC GREY XIRTEC PVC</t>
  </si>
  <si>
    <t>437420G</t>
  </si>
  <si>
    <t>4"x2" PVC SCH40 RED. BUSHING SPxSOC GREY XIRTEC PVC</t>
  </si>
  <si>
    <t>437421G</t>
  </si>
  <si>
    <t>4"x2 1/2" PVC SCH40 RED. BUSHING SPxSOC GREY XIRTEC PVC</t>
  </si>
  <si>
    <t>437422G</t>
  </si>
  <si>
    <t>4"x3" PVC SCH40 RED. BUSHING SPxSOC GREY XIRTEC PVC</t>
  </si>
  <si>
    <t>437490G</t>
  </si>
  <si>
    <t>5"x4" PVC SCH40 RED. BUSHING SPxSOC GREY XIRTEC PVC</t>
  </si>
  <si>
    <t>437532G</t>
  </si>
  <si>
    <t>6"x4" PVC SCH40 RED. BUSHING SPxSOC GREY XIRTEC PVC</t>
  </si>
  <si>
    <t>437585G</t>
  </si>
  <si>
    <t>8"x6" PVC SCH40 RED. BUSHING SPxSOC GREY XIRTEC PVC</t>
  </si>
  <si>
    <t>438072G</t>
  </si>
  <si>
    <t>1/2"x1/4" PVC SCH40 RED. BUSHING SPxFPT GREY XIRTEC PVC</t>
  </si>
  <si>
    <t>438073G</t>
  </si>
  <si>
    <t>1/2"x3/8" PVC SCH40 RED. BUSHING SPxFPT GREY XIRTEC PVC</t>
  </si>
  <si>
    <t>438101G</t>
  </si>
  <si>
    <t>3/4"x1/2" PVC SCH40 RED. BUSHING SPxFPT GREY XIRTEC PVC</t>
  </si>
  <si>
    <t>438130G</t>
  </si>
  <si>
    <t>1"x1/2" PVC SCH40 RED. BUSHING SPxFPT GREY XIRTEC PVC</t>
  </si>
  <si>
    <t>438131G</t>
  </si>
  <si>
    <t>1"x3/4" PVC SCH40 RED. BUSHING SPxFPT GREY XIRTEC PVC</t>
  </si>
  <si>
    <t>438166G</t>
  </si>
  <si>
    <t>1 1/4"x1/2" PVC SCH40 RED. BUSHING SPxFPT GREY XIRTEC PVC</t>
  </si>
  <si>
    <t>438167G</t>
  </si>
  <si>
    <t>1 1/4"x3/4" PVC SCH40 RED. BUSHING SPxFPT GREY XIRTEC PVC</t>
  </si>
  <si>
    <t>438168G</t>
  </si>
  <si>
    <t>1 1/4"x1" PVC SCH40 RED. BUSHING SPxFPT GREY XIRTEC PVC</t>
  </si>
  <si>
    <t>438209G</t>
  </si>
  <si>
    <t>1 1/2"x1/2" PVC SCH40 RED. BUSHING SPxFPT GREY XIRTEC PVC</t>
  </si>
  <si>
    <t>438210G</t>
  </si>
  <si>
    <t>1 1/2"x3/4" PVC SCH40 RED. BUSHING SPxFPT GREY XIRTEC PVC</t>
  </si>
  <si>
    <t>438211G</t>
  </si>
  <si>
    <t>1 1/2"x1" PVC SCH40 RED. BUSHING SPxFPT GREY XIRTEC PVC</t>
  </si>
  <si>
    <t>438212G</t>
  </si>
  <si>
    <t>1 1/2"x1 1/4" PVC SCH40 RED. BUSHING SPxFPT GREY XIRTEC PVC</t>
  </si>
  <si>
    <t>438247G</t>
  </si>
  <si>
    <t>2"x1/2" PVC SCH40 RED. BUSHING SPxFPT GREY XIRTEC PVC</t>
  </si>
  <si>
    <t>438248G</t>
  </si>
  <si>
    <t>2"x3/4" PVC SCH40 RED. BUSHING SPxFPT GREY XIRTEC PVC</t>
  </si>
  <si>
    <t>438249G</t>
  </si>
  <si>
    <t>2"x1" PVC SCH40 RED. BUSHING SPxFPT GREY XIRTEC PVC</t>
  </si>
  <si>
    <t>438250G</t>
  </si>
  <si>
    <t>2"x1 1/4" PVC SCH40 RED. BUSHING SPxFPT GREY XIRTEC PVC</t>
  </si>
  <si>
    <t>438251G</t>
  </si>
  <si>
    <t>2"x1 1/2" PVC SCH40 RED. BUSHING SPxFPT GREY XIRTEC PVC</t>
  </si>
  <si>
    <t>438291G</t>
  </si>
  <si>
    <t>2 1/2"x1 1/2" PVC SCH40 RED. BUSHING SPxFPT GREY XIRTEC PVC</t>
  </si>
  <si>
    <t>438292G</t>
  </si>
  <si>
    <t>2 1/2"x2" PVC SCH40 RED. BUSHING SPxFPT GREY XIRTEC PVC</t>
  </si>
  <si>
    <t>438338G</t>
  </si>
  <si>
    <t>3"x2" PVC SCH40 RED. BUSHING SPxFPT GREY XIRTEC PVC</t>
  </si>
  <si>
    <t>438420G</t>
  </si>
  <si>
    <t>4"x2" PVC SCH40 RED. BUSHING SPxFPT GREY XIRTEC PVC</t>
  </si>
  <si>
    <t>438422G</t>
  </si>
  <si>
    <t>4"x3" PVC SCH40 RED. BUSHING SPxFPT GREY XIRTEC PVC</t>
  </si>
  <si>
    <t>438490G</t>
  </si>
  <si>
    <t>5"x4" PVC SCH40 RED. BUSHING SPxFPT GREY XIRTEC PVC</t>
  </si>
  <si>
    <t>438532G</t>
  </si>
  <si>
    <t>6"x4" PVC SCH40 RED. BUSHING SPxFPT GREY XIRTEC PVC</t>
  </si>
  <si>
    <t>PVC40GFIPUS030122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</si>
</sst>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tabSelected="1" workbookViewId="0"/>
  </sheetViews>
  <sheetFormatPr defaultRowHeight="15" x14ac:dyDescent="0.25"/>
  <cols>
    <col min="1" max="1" width="20.140625" style="1" bestFit="1" customWidth="1"/>
    <col min="2" max="2" width="7.42578125" style="1" customWidth="1"/>
    <col min="3" max="3" width="13.140625" style="1" bestFit="1" customWidth="1"/>
    <col min="4" max="4" width="17.28515625" style="1" bestFit="1" customWidth="1"/>
    <col min="5" max="5" width="50.7109375" customWidth="1"/>
    <col min="6" max="6" width="13.7109375" style="3" customWidth="1"/>
    <col min="7" max="7" width="4.85546875" style="1" customWidth="1"/>
    <col min="8" max="8" width="9.7109375" style="1" customWidth="1"/>
    <col min="9" max="9" width="13.42578125" style="1" bestFit="1" customWidth="1"/>
    <col min="10" max="10" width="13.28515625" style="1" bestFit="1" customWidth="1"/>
    <col min="11" max="11" width="10.42578125" style="1" bestFit="1" customWidth="1"/>
    <col min="12" max="12" width="10.28515625" style="1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" t="s">
        <v>468</v>
      </c>
      <c r="B2" s="1" t="str">
        <f>("035290")</f>
        <v>035290</v>
      </c>
      <c r="C2" s="1" t="str">
        <f>("622454352902")</f>
        <v>622454352902</v>
      </c>
      <c r="D2" s="1" t="s">
        <v>12</v>
      </c>
      <c r="E2" t="s">
        <v>13</v>
      </c>
      <c r="F2" s="3">
        <v>2.1382978723404253</v>
      </c>
      <c r="G2" s="1" t="s">
        <v>14</v>
      </c>
      <c r="H2" s="2">
        <v>44621</v>
      </c>
      <c r="I2" s="1">
        <v>3.7999999999999999E-2</v>
      </c>
      <c r="J2" s="1">
        <v>8.4000000000000005E-2</v>
      </c>
      <c r="K2" s="1">
        <v>75</v>
      </c>
      <c r="L2" s="1" t="s">
        <v>15</v>
      </c>
    </row>
    <row r="3" spans="1:12" x14ac:dyDescent="0.25">
      <c r="A3" s="1" t="s">
        <v>468</v>
      </c>
      <c r="B3" s="1" t="str">
        <f>("035291")</f>
        <v>035291</v>
      </c>
      <c r="C3" s="1" t="str">
        <f>("622454352919")</f>
        <v>622454352919</v>
      </c>
      <c r="D3" s="1" t="s">
        <v>16</v>
      </c>
      <c r="E3" t="s">
        <v>17</v>
      </c>
      <c r="F3" s="3">
        <v>2.4148936170212769</v>
      </c>
      <c r="G3" s="1" t="s">
        <v>14</v>
      </c>
      <c r="H3" s="2">
        <v>44621</v>
      </c>
      <c r="I3" s="1">
        <v>4.2000000000000003E-2</v>
      </c>
      <c r="J3" s="1">
        <v>9.2999999999999999E-2</v>
      </c>
      <c r="K3" s="1">
        <v>50</v>
      </c>
      <c r="L3" s="1" t="s">
        <v>15</v>
      </c>
    </row>
    <row r="4" spans="1:12" x14ac:dyDescent="0.25">
      <c r="A4" s="1" t="s">
        <v>468</v>
      </c>
      <c r="B4" s="1" t="str">
        <f>("035292")</f>
        <v>035292</v>
      </c>
      <c r="C4" s="1" t="str">
        <f>("622454352926")</f>
        <v>622454352926</v>
      </c>
      <c r="D4" s="1" t="s">
        <v>18</v>
      </c>
      <c r="E4" t="s">
        <v>19</v>
      </c>
      <c r="F4" s="3">
        <v>4.4787234042553195</v>
      </c>
      <c r="G4" s="1" t="s">
        <v>14</v>
      </c>
      <c r="H4" s="2">
        <v>44621</v>
      </c>
      <c r="I4" s="1">
        <v>0.105</v>
      </c>
      <c r="J4" s="1">
        <v>0.23100000000000001</v>
      </c>
      <c r="K4" s="1">
        <v>50</v>
      </c>
      <c r="L4" s="1" t="s">
        <v>15</v>
      </c>
    </row>
    <row r="5" spans="1:12" x14ac:dyDescent="0.25">
      <c r="A5" s="1" t="s">
        <v>468</v>
      </c>
      <c r="B5" s="1" t="str">
        <f>("035293")</f>
        <v>035293</v>
      </c>
      <c r="C5" s="1" t="str">
        <f>("622454352933")</f>
        <v>622454352933</v>
      </c>
      <c r="D5" s="1" t="s">
        <v>20</v>
      </c>
      <c r="E5" t="s">
        <v>21</v>
      </c>
      <c r="F5" s="3">
        <v>7.0638297872340425</v>
      </c>
      <c r="G5" s="1" t="s">
        <v>14</v>
      </c>
      <c r="H5" s="2">
        <v>44621</v>
      </c>
      <c r="I5" s="1">
        <v>0.16900000000000001</v>
      </c>
      <c r="J5" s="1">
        <v>0.373</v>
      </c>
      <c r="K5" s="1">
        <v>25</v>
      </c>
      <c r="L5" s="1" t="s">
        <v>15</v>
      </c>
    </row>
    <row r="6" spans="1:12" x14ac:dyDescent="0.25">
      <c r="A6" s="1" t="s">
        <v>468</v>
      </c>
      <c r="B6" s="1" t="str">
        <f>("035294")</f>
        <v>035294</v>
      </c>
      <c r="C6" s="1" t="str">
        <f>("622454352940")</f>
        <v>622454352940</v>
      </c>
      <c r="D6" s="1" t="s">
        <v>22</v>
      </c>
      <c r="E6" t="s">
        <v>23</v>
      </c>
      <c r="F6" s="3">
        <v>8.6702127659574479</v>
      </c>
      <c r="G6" s="1" t="s">
        <v>14</v>
      </c>
      <c r="H6" s="2">
        <v>44621</v>
      </c>
      <c r="I6" s="1">
        <v>0.14000000000000001</v>
      </c>
      <c r="J6" s="1">
        <v>0.309</v>
      </c>
      <c r="K6" s="1">
        <v>20</v>
      </c>
      <c r="L6" s="1" t="s">
        <v>15</v>
      </c>
    </row>
    <row r="7" spans="1:12" x14ac:dyDescent="0.25">
      <c r="A7" s="1" t="s">
        <v>468</v>
      </c>
      <c r="B7" s="1" t="str">
        <f>("035295")</f>
        <v>035295</v>
      </c>
      <c r="C7" s="1" t="str">
        <f>("622454352957")</f>
        <v>622454352957</v>
      </c>
      <c r="D7" s="1" t="s">
        <v>24</v>
      </c>
      <c r="E7" t="s">
        <v>25</v>
      </c>
      <c r="F7" s="3">
        <v>12.436170212765958</v>
      </c>
      <c r="G7" s="1" t="s">
        <v>14</v>
      </c>
      <c r="H7" s="2">
        <v>44621</v>
      </c>
      <c r="I7" s="1">
        <v>0.23400000000000001</v>
      </c>
      <c r="J7" s="1">
        <v>0.51600000000000001</v>
      </c>
      <c r="K7" s="1">
        <v>25</v>
      </c>
      <c r="L7" s="1" t="s">
        <v>15</v>
      </c>
    </row>
    <row r="8" spans="1:12" x14ac:dyDescent="0.25">
      <c r="A8" s="1" t="s">
        <v>468</v>
      </c>
      <c r="B8" s="1" t="str">
        <f>("035296")</f>
        <v>035296</v>
      </c>
      <c r="C8" s="1" t="str">
        <f>("622454352964")</f>
        <v>622454352964</v>
      </c>
      <c r="D8" s="1" t="s">
        <v>26</v>
      </c>
      <c r="E8" t="s">
        <v>27</v>
      </c>
      <c r="F8" s="3">
        <v>41.202127659574465</v>
      </c>
      <c r="G8" s="1" t="s">
        <v>14</v>
      </c>
      <c r="H8" s="2">
        <v>44621</v>
      </c>
      <c r="I8" s="1">
        <v>0.44900000000000001</v>
      </c>
      <c r="J8" s="1">
        <v>0.99</v>
      </c>
      <c r="K8" s="1">
        <v>9</v>
      </c>
      <c r="L8" s="1" t="s">
        <v>15</v>
      </c>
    </row>
    <row r="9" spans="1:12" x14ac:dyDescent="0.25">
      <c r="A9" s="1" t="s">
        <v>468</v>
      </c>
      <c r="B9" s="1" t="str">
        <f>("035297")</f>
        <v>035297</v>
      </c>
      <c r="C9" s="1" t="str">
        <f>("622454352971")</f>
        <v>622454352971</v>
      </c>
      <c r="D9" s="1" t="s">
        <v>28</v>
      </c>
      <c r="E9" t="s">
        <v>29</v>
      </c>
      <c r="F9" s="3">
        <v>54.031914893617021</v>
      </c>
      <c r="G9" s="1" t="s">
        <v>14</v>
      </c>
      <c r="H9" s="2">
        <v>44621</v>
      </c>
      <c r="I9" s="1">
        <v>0.59299999999999997</v>
      </c>
      <c r="J9" s="1">
        <v>1.3069999999999999</v>
      </c>
      <c r="K9" s="1">
        <v>9</v>
      </c>
      <c r="L9" s="1" t="s">
        <v>15</v>
      </c>
    </row>
    <row r="10" spans="1:12" x14ac:dyDescent="0.25">
      <c r="A10" s="1" t="s">
        <v>468</v>
      </c>
      <c r="B10" s="1" t="str">
        <f>("035298")</f>
        <v>035298</v>
      </c>
      <c r="C10" s="1" t="str">
        <f>("622454352988")</f>
        <v>622454352988</v>
      </c>
      <c r="D10" s="1" t="s">
        <v>30</v>
      </c>
      <c r="E10" t="s">
        <v>31</v>
      </c>
      <c r="F10" s="3">
        <v>97.776595744680847</v>
      </c>
      <c r="G10" s="1" t="s">
        <v>14</v>
      </c>
      <c r="H10" s="2">
        <v>44621</v>
      </c>
      <c r="I10" s="1">
        <v>0.997</v>
      </c>
      <c r="J10" s="1">
        <v>2.198</v>
      </c>
      <c r="K10" s="1">
        <v>5</v>
      </c>
      <c r="L10" s="1" t="s">
        <v>15</v>
      </c>
    </row>
    <row r="11" spans="1:12" x14ac:dyDescent="0.25">
      <c r="A11" s="1" t="s">
        <v>468</v>
      </c>
      <c r="B11" s="1" t="str">
        <f>("035299")</f>
        <v>035299</v>
      </c>
      <c r="C11" s="1" t="str">
        <f>("622454352995")</f>
        <v>622454352995</v>
      </c>
      <c r="D11" s="1" t="s">
        <v>32</v>
      </c>
      <c r="E11" t="s">
        <v>33</v>
      </c>
      <c r="F11" s="3">
        <v>236.28723404255322</v>
      </c>
      <c r="G11" s="1" t="s">
        <v>14</v>
      </c>
      <c r="H11" s="2">
        <v>44621</v>
      </c>
      <c r="I11" s="1">
        <v>1.95</v>
      </c>
      <c r="J11" s="1">
        <v>4.2990000000000004</v>
      </c>
      <c r="K11" s="1">
        <v>5</v>
      </c>
      <c r="L11" s="1" t="s">
        <v>15</v>
      </c>
    </row>
    <row r="12" spans="1:12" x14ac:dyDescent="0.25">
      <c r="A12" s="1" t="s">
        <v>468</v>
      </c>
      <c r="B12" s="1" t="str">
        <f>("035300")</f>
        <v>035300</v>
      </c>
      <c r="C12" s="1" t="str">
        <f>("622454353008")</f>
        <v>622454353008</v>
      </c>
      <c r="D12" s="1" t="s">
        <v>34</v>
      </c>
      <c r="E12" t="s">
        <v>35</v>
      </c>
      <c r="F12" s="3">
        <v>329.28723404255317</v>
      </c>
      <c r="G12" s="1" t="s">
        <v>14</v>
      </c>
      <c r="H12" s="2">
        <v>44621</v>
      </c>
      <c r="I12" s="1">
        <v>2.5390000000000001</v>
      </c>
      <c r="J12" s="1">
        <v>5.5979999999999999</v>
      </c>
      <c r="K12" s="1">
        <v>4</v>
      </c>
      <c r="L12" s="1" t="s">
        <v>15</v>
      </c>
    </row>
    <row r="13" spans="1:12" x14ac:dyDescent="0.25">
      <c r="A13" s="1" t="s">
        <v>468</v>
      </c>
      <c r="B13" s="1" t="str">
        <f>("035301")</f>
        <v>035301</v>
      </c>
      <c r="C13" s="1" t="str">
        <f>("622454353015")</f>
        <v>622454353015</v>
      </c>
      <c r="D13" s="1" t="s">
        <v>36</v>
      </c>
      <c r="E13" t="s">
        <v>37</v>
      </c>
      <c r="F13" s="3">
        <v>763.74468085106378</v>
      </c>
      <c r="G13" s="1" t="s">
        <v>14</v>
      </c>
      <c r="H13" s="2">
        <v>44621</v>
      </c>
      <c r="I13" s="1">
        <v>5.6779999999999999</v>
      </c>
      <c r="J13" s="1">
        <v>12.518000000000001</v>
      </c>
      <c r="K13" s="1">
        <v>2</v>
      </c>
      <c r="L13" s="1" t="s">
        <v>15</v>
      </c>
    </row>
    <row r="14" spans="1:12" x14ac:dyDescent="0.25">
      <c r="A14" s="1" t="s">
        <v>468</v>
      </c>
      <c r="B14" s="1" t="str">
        <f>("035305")</f>
        <v>035305</v>
      </c>
      <c r="C14" s="1" t="str">
        <f>("622454353053")</f>
        <v>622454353053</v>
      </c>
      <c r="D14" s="1" t="s">
        <v>38</v>
      </c>
      <c r="E14" t="s">
        <v>39</v>
      </c>
      <c r="F14" s="3">
        <v>2.8085106382978728</v>
      </c>
      <c r="G14" s="1" t="s">
        <v>14</v>
      </c>
      <c r="H14" s="2">
        <v>44621</v>
      </c>
      <c r="I14" s="1">
        <v>4.9000000000000002E-2</v>
      </c>
      <c r="J14" s="1">
        <v>0.108</v>
      </c>
      <c r="K14" s="1">
        <v>50</v>
      </c>
      <c r="L14" s="1" t="s">
        <v>15</v>
      </c>
    </row>
    <row r="15" spans="1:12" x14ac:dyDescent="0.25">
      <c r="A15" s="1" t="s">
        <v>468</v>
      </c>
      <c r="B15" s="1" t="str">
        <f>("035307")</f>
        <v>035307</v>
      </c>
      <c r="C15" s="1" t="str">
        <f>("622454353077")</f>
        <v>622454353077</v>
      </c>
      <c r="D15" s="1" t="s">
        <v>40</v>
      </c>
      <c r="E15" t="s">
        <v>41</v>
      </c>
      <c r="F15" s="3">
        <v>4.7234042553191493</v>
      </c>
      <c r="G15" s="1" t="s">
        <v>14</v>
      </c>
      <c r="H15" s="2">
        <v>44621</v>
      </c>
      <c r="I15" s="1">
        <v>6.8000000000000005E-2</v>
      </c>
      <c r="J15" s="1">
        <v>0.15</v>
      </c>
      <c r="K15" s="1">
        <v>50</v>
      </c>
      <c r="L15" s="1" t="s">
        <v>15</v>
      </c>
    </row>
    <row r="16" spans="1:12" x14ac:dyDescent="0.25">
      <c r="A16" s="1" t="s">
        <v>468</v>
      </c>
      <c r="B16" s="1" t="str">
        <f>("035308")</f>
        <v>035308</v>
      </c>
      <c r="C16" s="1" t="str">
        <f>("622454353084")</f>
        <v>622454353084</v>
      </c>
      <c r="D16" s="1" t="s">
        <v>42</v>
      </c>
      <c r="E16" t="s">
        <v>43</v>
      </c>
      <c r="F16" s="3">
        <v>5.1595744680851059</v>
      </c>
      <c r="G16" s="1" t="s">
        <v>14</v>
      </c>
      <c r="H16" s="2">
        <v>44621</v>
      </c>
      <c r="I16" s="1">
        <v>5.8000000000000003E-2</v>
      </c>
      <c r="J16" s="1">
        <v>0.128</v>
      </c>
      <c r="K16" s="1">
        <v>35</v>
      </c>
      <c r="L16" s="1" t="s">
        <v>15</v>
      </c>
    </row>
    <row r="17" spans="1:12" x14ac:dyDescent="0.25">
      <c r="A17" s="1" t="s">
        <v>468</v>
      </c>
      <c r="B17" s="1" t="str">
        <f>("035311")</f>
        <v>035311</v>
      </c>
      <c r="C17" s="1" t="str">
        <f>("622454353114")</f>
        <v>622454353114</v>
      </c>
      <c r="D17" s="1" t="s">
        <v>44</v>
      </c>
      <c r="E17" t="s">
        <v>45</v>
      </c>
      <c r="F17" s="3">
        <v>7.712765957446809</v>
      </c>
      <c r="G17" s="1" t="s">
        <v>14</v>
      </c>
      <c r="H17" s="2">
        <v>44621</v>
      </c>
      <c r="I17" s="1">
        <v>0.109</v>
      </c>
      <c r="J17" s="1">
        <v>0.24</v>
      </c>
      <c r="K17" s="1">
        <v>25</v>
      </c>
      <c r="L17" s="1" t="s">
        <v>15</v>
      </c>
    </row>
    <row r="18" spans="1:12" x14ac:dyDescent="0.25">
      <c r="A18" s="1" t="s">
        <v>468</v>
      </c>
      <c r="B18" s="1" t="str">
        <f>("035312")</f>
        <v>035312</v>
      </c>
      <c r="C18" s="1" t="str">
        <f>("622454353121")</f>
        <v>622454353121</v>
      </c>
      <c r="D18" s="1" t="s">
        <v>46</v>
      </c>
      <c r="E18" t="s">
        <v>47</v>
      </c>
      <c r="F18" s="3">
        <v>7.712765957446809</v>
      </c>
      <c r="G18" s="1" t="s">
        <v>14</v>
      </c>
      <c r="H18" s="2">
        <v>44621</v>
      </c>
      <c r="I18" s="1">
        <v>7.8E-2</v>
      </c>
      <c r="J18" s="1">
        <v>0.17199999999999999</v>
      </c>
      <c r="K18" s="1">
        <v>20</v>
      </c>
      <c r="L18" s="1" t="s">
        <v>15</v>
      </c>
    </row>
    <row r="19" spans="1:12" x14ac:dyDescent="0.25">
      <c r="A19" s="1" t="s">
        <v>468</v>
      </c>
      <c r="B19" s="1" t="str">
        <f>("035313")</f>
        <v>035313</v>
      </c>
      <c r="C19" s="1" t="str">
        <f>("622454353138")</f>
        <v>622454353138</v>
      </c>
      <c r="D19" s="1" t="s">
        <v>48</v>
      </c>
      <c r="E19" t="s">
        <v>49</v>
      </c>
      <c r="F19" s="3">
        <v>7.712765957446809</v>
      </c>
      <c r="G19" s="1" t="s">
        <v>14</v>
      </c>
      <c r="H19" s="2">
        <v>44621</v>
      </c>
      <c r="I19" s="1">
        <v>0.113</v>
      </c>
      <c r="J19" s="1">
        <v>0.249</v>
      </c>
      <c r="K19" s="1">
        <v>20</v>
      </c>
      <c r="L19" s="1" t="s">
        <v>15</v>
      </c>
    </row>
    <row r="20" spans="1:12" x14ac:dyDescent="0.25">
      <c r="A20" s="1" t="s">
        <v>468</v>
      </c>
      <c r="B20" s="1" t="str">
        <f>("035315")</f>
        <v>035315</v>
      </c>
      <c r="C20" s="1" t="str">
        <f>("622454353152")</f>
        <v>622454353152</v>
      </c>
      <c r="D20" s="1" t="s">
        <v>50</v>
      </c>
      <c r="E20" t="s">
        <v>51</v>
      </c>
      <c r="F20" s="3">
        <v>13.638297872340427</v>
      </c>
      <c r="G20" s="1" t="s">
        <v>14</v>
      </c>
      <c r="H20" s="2">
        <v>44621</v>
      </c>
      <c r="I20" s="1">
        <v>9.5000000000000001E-2</v>
      </c>
      <c r="J20" s="1">
        <v>0.20899999999999999</v>
      </c>
      <c r="K20" s="1">
        <v>25</v>
      </c>
      <c r="L20" s="1" t="s">
        <v>15</v>
      </c>
    </row>
    <row r="21" spans="1:12" x14ac:dyDescent="0.25">
      <c r="A21" s="1" t="s">
        <v>468</v>
      </c>
      <c r="B21" s="1" t="str">
        <f>("035316")</f>
        <v>035316</v>
      </c>
      <c r="C21" s="1" t="str">
        <f>("622454353169")</f>
        <v>622454353169</v>
      </c>
      <c r="D21" s="1" t="s">
        <v>52</v>
      </c>
      <c r="E21" t="s">
        <v>53</v>
      </c>
      <c r="F21" s="3">
        <v>13.638297872340427</v>
      </c>
      <c r="G21" s="1" t="s">
        <v>14</v>
      </c>
      <c r="H21" s="2">
        <v>44621</v>
      </c>
      <c r="I21" s="1">
        <v>0.129</v>
      </c>
      <c r="J21" s="1">
        <v>0.28399999999999997</v>
      </c>
      <c r="K21" s="1">
        <v>20</v>
      </c>
      <c r="L21" s="1" t="s">
        <v>15</v>
      </c>
    </row>
    <row r="22" spans="1:12" x14ac:dyDescent="0.25">
      <c r="A22" s="1" t="s">
        <v>468</v>
      </c>
      <c r="B22" s="1" t="str">
        <f>("035317")</f>
        <v>035317</v>
      </c>
      <c r="C22" s="1" t="str">
        <f>("622454353176")</f>
        <v>622454353176</v>
      </c>
      <c r="D22" s="1" t="s">
        <v>54</v>
      </c>
      <c r="E22" t="s">
        <v>55</v>
      </c>
      <c r="F22" s="3">
        <v>13.638297872340427</v>
      </c>
      <c r="G22" s="1" t="s">
        <v>14</v>
      </c>
      <c r="H22" s="2">
        <v>44621</v>
      </c>
      <c r="I22" s="1">
        <v>0.14000000000000001</v>
      </c>
      <c r="J22" s="1">
        <v>0.309</v>
      </c>
      <c r="K22" s="1">
        <v>25</v>
      </c>
      <c r="L22" s="1" t="s">
        <v>15</v>
      </c>
    </row>
    <row r="23" spans="1:12" x14ac:dyDescent="0.25">
      <c r="A23" s="1" t="s">
        <v>468</v>
      </c>
      <c r="B23" s="1" t="str">
        <f>("035318")</f>
        <v>035318</v>
      </c>
      <c r="C23" s="1" t="str">
        <f>("622454353183")</f>
        <v>622454353183</v>
      </c>
      <c r="D23" s="1" t="s">
        <v>56</v>
      </c>
      <c r="E23" t="s">
        <v>57</v>
      </c>
      <c r="F23" s="3">
        <v>13.638297872340427</v>
      </c>
      <c r="G23" s="1" t="s">
        <v>14</v>
      </c>
      <c r="H23" s="2">
        <v>44621</v>
      </c>
      <c r="I23" s="1">
        <v>0.154</v>
      </c>
      <c r="J23" s="1">
        <v>0.34</v>
      </c>
      <c r="K23" s="1">
        <v>25</v>
      </c>
      <c r="L23" s="1" t="s">
        <v>15</v>
      </c>
    </row>
    <row r="24" spans="1:12" x14ac:dyDescent="0.25">
      <c r="A24" s="1" t="s">
        <v>468</v>
      </c>
      <c r="B24" s="1" t="str">
        <f>("035319")</f>
        <v>035319</v>
      </c>
      <c r="C24" s="1" t="str">
        <f>("622454353190")</f>
        <v>622454353190</v>
      </c>
      <c r="D24" s="1" t="s">
        <v>58</v>
      </c>
      <c r="E24" t="s">
        <v>59</v>
      </c>
      <c r="F24" s="3">
        <v>13.297872340425533</v>
      </c>
      <c r="G24" s="1" t="s">
        <v>14</v>
      </c>
      <c r="H24" s="2">
        <v>44621</v>
      </c>
      <c r="I24" s="1">
        <v>0.15</v>
      </c>
      <c r="J24" s="1">
        <v>0.33100000000000002</v>
      </c>
      <c r="K24" s="1">
        <v>10</v>
      </c>
      <c r="L24" s="1" t="s">
        <v>15</v>
      </c>
    </row>
    <row r="25" spans="1:12" x14ac:dyDescent="0.25">
      <c r="A25" s="1" t="s">
        <v>468</v>
      </c>
      <c r="B25" s="1" t="str">
        <f>("035320")</f>
        <v>035320</v>
      </c>
      <c r="C25" s="1" t="str">
        <f>("622454353206")</f>
        <v>622454353206</v>
      </c>
      <c r="D25" s="1" t="s">
        <v>60</v>
      </c>
      <c r="E25" t="s">
        <v>61</v>
      </c>
      <c r="F25" s="3">
        <v>13.297872340425533</v>
      </c>
      <c r="G25" s="1" t="s">
        <v>14</v>
      </c>
      <c r="H25" s="2">
        <v>44621</v>
      </c>
      <c r="I25" s="1">
        <v>0.14000000000000001</v>
      </c>
      <c r="J25" s="1">
        <v>0.309</v>
      </c>
      <c r="K25" s="1">
        <v>15</v>
      </c>
      <c r="L25" s="1" t="s">
        <v>15</v>
      </c>
    </row>
    <row r="26" spans="1:12" x14ac:dyDescent="0.25">
      <c r="A26" s="1" t="s">
        <v>468</v>
      </c>
      <c r="B26" s="1" t="str">
        <f>("035321")</f>
        <v>035321</v>
      </c>
      <c r="C26" s="1" t="str">
        <f>("622454353213")</f>
        <v>622454353213</v>
      </c>
      <c r="D26" s="1" t="s">
        <v>62</v>
      </c>
      <c r="E26" t="s">
        <v>63</v>
      </c>
      <c r="F26" s="3">
        <v>13.297872340425533</v>
      </c>
      <c r="G26" s="1" t="s">
        <v>14</v>
      </c>
      <c r="H26" s="2">
        <v>44621</v>
      </c>
      <c r="I26" s="1">
        <v>0.14000000000000001</v>
      </c>
      <c r="J26" s="1">
        <v>0.309</v>
      </c>
      <c r="K26" s="1">
        <v>20</v>
      </c>
      <c r="L26" s="1" t="s">
        <v>15</v>
      </c>
    </row>
    <row r="27" spans="1:12" x14ac:dyDescent="0.25">
      <c r="A27" s="1" t="s">
        <v>468</v>
      </c>
      <c r="B27" s="1" t="str">
        <f>("035322")</f>
        <v>035322</v>
      </c>
      <c r="C27" s="1" t="str">
        <f>("622454353220")</f>
        <v>622454353220</v>
      </c>
      <c r="D27" s="1" t="s">
        <v>64</v>
      </c>
      <c r="E27" t="s">
        <v>65</v>
      </c>
      <c r="F27" s="3">
        <v>13.297872340425533</v>
      </c>
      <c r="G27" s="1" t="s">
        <v>14</v>
      </c>
      <c r="H27" s="2">
        <v>44621</v>
      </c>
      <c r="I27" s="1">
        <v>0.17100000000000001</v>
      </c>
      <c r="J27" s="1">
        <v>0.377</v>
      </c>
      <c r="K27" s="1">
        <v>30</v>
      </c>
      <c r="L27" s="1" t="s">
        <v>15</v>
      </c>
    </row>
    <row r="28" spans="1:12" x14ac:dyDescent="0.25">
      <c r="A28" s="1" t="s">
        <v>468</v>
      </c>
      <c r="B28" s="1" t="str">
        <f>("035327")</f>
        <v>035327</v>
      </c>
      <c r="C28" s="1" t="str">
        <f>("622454353275")</f>
        <v>622454353275</v>
      </c>
      <c r="D28" s="1" t="s">
        <v>66</v>
      </c>
      <c r="E28" t="s">
        <v>67</v>
      </c>
      <c r="F28" s="3">
        <v>58.829787234042556</v>
      </c>
      <c r="G28" s="1" t="s">
        <v>14</v>
      </c>
      <c r="H28" s="2">
        <v>44621</v>
      </c>
      <c r="I28" s="1">
        <v>0.435</v>
      </c>
      <c r="J28" s="1">
        <v>0.95899999999999996</v>
      </c>
      <c r="K28" s="1">
        <v>10</v>
      </c>
      <c r="L28" s="1" t="s">
        <v>15</v>
      </c>
    </row>
    <row r="29" spans="1:12" x14ac:dyDescent="0.25">
      <c r="A29" s="1" t="s">
        <v>468</v>
      </c>
      <c r="B29" s="1" t="str">
        <f>("035328")</f>
        <v>035328</v>
      </c>
      <c r="C29" s="1" t="str">
        <f>("622454353282")</f>
        <v>622454353282</v>
      </c>
      <c r="D29" s="1" t="s">
        <v>68</v>
      </c>
      <c r="E29" t="s">
        <v>69</v>
      </c>
      <c r="F29" s="3">
        <v>58.808510638297875</v>
      </c>
      <c r="G29" s="1" t="s">
        <v>14</v>
      </c>
      <c r="H29" s="2">
        <v>44621</v>
      </c>
      <c r="I29" s="1">
        <v>0.54500000000000004</v>
      </c>
      <c r="J29" s="1">
        <v>1.202</v>
      </c>
      <c r="K29" s="1">
        <v>10</v>
      </c>
      <c r="L29" s="1" t="s">
        <v>15</v>
      </c>
    </row>
    <row r="30" spans="1:12" x14ac:dyDescent="0.25">
      <c r="A30" s="1" t="s">
        <v>468</v>
      </c>
      <c r="B30" s="1" t="str">
        <f>("035331")</f>
        <v>035331</v>
      </c>
      <c r="C30" s="1" t="str">
        <f>("622454353312")</f>
        <v>622454353312</v>
      </c>
      <c r="D30" s="1" t="s">
        <v>70</v>
      </c>
      <c r="E30" t="s">
        <v>71</v>
      </c>
      <c r="F30" s="3">
        <v>97.776595744680847</v>
      </c>
      <c r="G30" s="1" t="s">
        <v>14</v>
      </c>
      <c r="H30" s="2">
        <v>44621</v>
      </c>
      <c r="I30" s="1">
        <v>0.63500000000000001</v>
      </c>
      <c r="J30" s="1">
        <v>1.4</v>
      </c>
      <c r="K30" s="1">
        <v>10</v>
      </c>
      <c r="L30" s="1" t="s">
        <v>15</v>
      </c>
    </row>
    <row r="31" spans="1:12" x14ac:dyDescent="0.25">
      <c r="A31" s="1" t="s">
        <v>468</v>
      </c>
      <c r="B31" s="1" t="str">
        <f>("035332")</f>
        <v>035332</v>
      </c>
      <c r="C31" s="1" t="str">
        <f>("622454353329")</f>
        <v>622454353329</v>
      </c>
      <c r="D31" s="1" t="s">
        <v>72</v>
      </c>
      <c r="E31" t="s">
        <v>73</v>
      </c>
      <c r="F31" s="3">
        <v>97.776595744680847</v>
      </c>
      <c r="G31" s="1" t="s">
        <v>14</v>
      </c>
      <c r="H31" s="2">
        <v>44621</v>
      </c>
      <c r="I31" s="1">
        <v>0.90700000000000003</v>
      </c>
      <c r="J31" s="1">
        <v>2</v>
      </c>
      <c r="K31" s="1">
        <v>6</v>
      </c>
      <c r="L31" s="1" t="s">
        <v>15</v>
      </c>
    </row>
    <row r="32" spans="1:12" x14ac:dyDescent="0.25">
      <c r="A32" s="1" t="s">
        <v>468</v>
      </c>
      <c r="B32" s="1" t="str">
        <f>("035334")</f>
        <v>035334</v>
      </c>
      <c r="C32" s="1" t="str">
        <f>("622454353343")</f>
        <v>622454353343</v>
      </c>
      <c r="D32" s="1" t="s">
        <v>74</v>
      </c>
      <c r="E32" t="s">
        <v>75</v>
      </c>
      <c r="F32" s="3">
        <v>561.24468085106389</v>
      </c>
      <c r="G32" s="1" t="s">
        <v>14</v>
      </c>
      <c r="H32" s="2">
        <v>44621</v>
      </c>
      <c r="I32" s="1">
        <v>3.3290000000000002</v>
      </c>
      <c r="J32" s="1">
        <v>7.3390000000000004</v>
      </c>
      <c r="K32" s="1">
        <v>5</v>
      </c>
      <c r="L32" s="1" t="s">
        <v>15</v>
      </c>
    </row>
    <row r="33" spans="1:12" x14ac:dyDescent="0.25">
      <c r="A33" s="1" t="s">
        <v>468</v>
      </c>
      <c r="B33" s="1" t="str">
        <f>("035335")</f>
        <v>035335</v>
      </c>
      <c r="C33" s="1" t="str">
        <f>("622454353350")</f>
        <v>622454353350</v>
      </c>
      <c r="D33" s="1" t="s">
        <v>76</v>
      </c>
      <c r="E33" t="s">
        <v>77</v>
      </c>
      <c r="F33" s="3">
        <v>329.28723404255317</v>
      </c>
      <c r="G33" s="1" t="s">
        <v>14</v>
      </c>
      <c r="H33" s="2">
        <v>44621</v>
      </c>
      <c r="I33" s="1">
        <v>2.25</v>
      </c>
      <c r="J33" s="1">
        <v>4.96</v>
      </c>
      <c r="K33" s="1">
        <v>2</v>
      </c>
      <c r="L33" s="1" t="s">
        <v>15</v>
      </c>
    </row>
    <row r="34" spans="1:12" x14ac:dyDescent="0.25">
      <c r="A34" s="1" t="s">
        <v>468</v>
      </c>
      <c r="B34" s="1" t="str">
        <f>("035348")</f>
        <v>035348</v>
      </c>
      <c r="C34" s="1" t="str">
        <f>("622454353480")</f>
        <v>622454353480</v>
      </c>
      <c r="D34" s="1" t="s">
        <v>78</v>
      </c>
      <c r="E34" t="s">
        <v>79</v>
      </c>
      <c r="F34" s="3">
        <v>3.6382978723404258</v>
      </c>
      <c r="G34" s="1" t="s">
        <v>14</v>
      </c>
      <c r="H34" s="2">
        <v>44621</v>
      </c>
      <c r="I34" s="1">
        <v>4.1000000000000002E-2</v>
      </c>
      <c r="J34" s="1">
        <v>0.09</v>
      </c>
      <c r="K34" s="1">
        <v>50</v>
      </c>
      <c r="L34" s="1" t="s">
        <v>15</v>
      </c>
    </row>
    <row r="35" spans="1:12" x14ac:dyDescent="0.25">
      <c r="A35" s="1" t="s">
        <v>468</v>
      </c>
      <c r="B35" s="1" t="str">
        <f>("035349")</f>
        <v>035349</v>
      </c>
      <c r="C35" s="1" t="str">
        <f>("622454353497")</f>
        <v>622454353497</v>
      </c>
      <c r="D35" s="1" t="s">
        <v>80</v>
      </c>
      <c r="E35" t="s">
        <v>81</v>
      </c>
      <c r="F35" s="3">
        <v>8.0319148936170208</v>
      </c>
      <c r="G35" s="1" t="s">
        <v>14</v>
      </c>
      <c r="H35" s="2">
        <v>44621</v>
      </c>
      <c r="I35" s="1">
        <v>7.2999999999999995E-2</v>
      </c>
      <c r="J35" s="1">
        <v>0.161</v>
      </c>
      <c r="K35" s="1">
        <v>50</v>
      </c>
      <c r="L35" s="1" t="s">
        <v>15</v>
      </c>
    </row>
    <row r="36" spans="1:12" x14ac:dyDescent="0.25">
      <c r="A36" s="1" t="s">
        <v>468</v>
      </c>
      <c r="B36" s="1" t="str">
        <f>("035350")</f>
        <v>035350</v>
      </c>
      <c r="C36" s="1" t="str">
        <f>("622454353503")</f>
        <v>622454353503</v>
      </c>
      <c r="D36" s="1" t="s">
        <v>82</v>
      </c>
      <c r="E36" t="s">
        <v>83</v>
      </c>
      <c r="F36" s="3">
        <v>13.297872340425533</v>
      </c>
      <c r="G36" s="1" t="s">
        <v>14</v>
      </c>
      <c r="H36" s="2">
        <v>44621</v>
      </c>
      <c r="I36" s="1">
        <v>8.5999999999999993E-2</v>
      </c>
      <c r="J36" s="1">
        <v>0.19</v>
      </c>
      <c r="K36" s="1">
        <v>25</v>
      </c>
      <c r="L36" s="1" t="s">
        <v>15</v>
      </c>
    </row>
    <row r="37" spans="1:12" x14ac:dyDescent="0.25">
      <c r="A37" s="1" t="s">
        <v>468</v>
      </c>
      <c r="B37" s="1" t="str">
        <f>("035977")</f>
        <v>035977</v>
      </c>
      <c r="C37" s="1" t="str">
        <f>("622454359772")</f>
        <v>622454359772</v>
      </c>
      <c r="D37" s="1" t="s">
        <v>84</v>
      </c>
      <c r="E37" t="s">
        <v>85</v>
      </c>
      <c r="F37" s="3">
        <v>13.297872340425533</v>
      </c>
      <c r="G37" s="1" t="s">
        <v>14</v>
      </c>
      <c r="H37" s="2">
        <v>44621</v>
      </c>
      <c r="I37" s="1">
        <v>0.1</v>
      </c>
      <c r="J37" s="1">
        <v>0.22</v>
      </c>
      <c r="K37" s="1">
        <v>25</v>
      </c>
      <c r="L37" s="1" t="s">
        <v>15</v>
      </c>
    </row>
    <row r="38" spans="1:12" x14ac:dyDescent="0.25">
      <c r="A38" s="1" t="s">
        <v>468</v>
      </c>
      <c r="B38" s="1" t="str">
        <f>("035351")</f>
        <v>035351</v>
      </c>
      <c r="C38" s="1" t="str">
        <f>("622454353510")</f>
        <v>622454353510</v>
      </c>
      <c r="D38" s="1" t="s">
        <v>86</v>
      </c>
      <c r="E38" t="s">
        <v>87</v>
      </c>
      <c r="F38" s="3">
        <v>16.521276595744681</v>
      </c>
      <c r="G38" s="1" t="s">
        <v>14</v>
      </c>
      <c r="H38" s="2">
        <v>44621</v>
      </c>
      <c r="I38" s="1">
        <v>4.0000000000000001E-3</v>
      </c>
      <c r="J38" s="1">
        <v>8.9999999999999993E-3</v>
      </c>
      <c r="K38" s="1">
        <v>25</v>
      </c>
      <c r="L38" s="1" t="s">
        <v>15</v>
      </c>
    </row>
    <row r="39" spans="1:12" x14ac:dyDescent="0.25">
      <c r="A39" s="1" t="s">
        <v>468</v>
      </c>
      <c r="B39" s="1" t="str">
        <f>("035352")</f>
        <v>035352</v>
      </c>
      <c r="C39" s="1" t="str">
        <f>("622454353527")</f>
        <v>622454353527</v>
      </c>
      <c r="D39" s="1" t="s">
        <v>88</v>
      </c>
      <c r="E39" t="s">
        <v>89</v>
      </c>
      <c r="F39" s="3">
        <v>16.521276595744681</v>
      </c>
      <c r="G39" s="1" t="s">
        <v>14</v>
      </c>
      <c r="H39" s="2">
        <v>44621</v>
      </c>
      <c r="I39" s="1">
        <v>0.11799999999999999</v>
      </c>
      <c r="J39" s="1">
        <v>0.26</v>
      </c>
      <c r="K39" s="1">
        <v>25</v>
      </c>
      <c r="L39" s="1" t="s">
        <v>15</v>
      </c>
    </row>
    <row r="40" spans="1:12" x14ac:dyDescent="0.25">
      <c r="A40" s="1" t="s">
        <v>468</v>
      </c>
      <c r="B40" s="1" t="str">
        <f>("035353")</f>
        <v>035353</v>
      </c>
      <c r="C40" s="1" t="str">
        <f>("622454353534")</f>
        <v>622454353534</v>
      </c>
      <c r="D40" s="1" t="s">
        <v>90</v>
      </c>
      <c r="E40" t="s">
        <v>91</v>
      </c>
      <c r="F40" s="3">
        <v>16.521276595744681</v>
      </c>
      <c r="G40" s="1" t="s">
        <v>14</v>
      </c>
      <c r="H40" s="2">
        <v>44621</v>
      </c>
      <c r="I40" s="1">
        <v>0.14099999999999999</v>
      </c>
      <c r="J40" s="1">
        <v>0.311</v>
      </c>
      <c r="K40" s="1">
        <v>25</v>
      </c>
      <c r="L40" s="1" t="s">
        <v>15</v>
      </c>
    </row>
    <row r="41" spans="1:12" x14ac:dyDescent="0.25">
      <c r="A41" s="1" t="s">
        <v>468</v>
      </c>
      <c r="B41" s="1" t="str">
        <f>("035355")</f>
        <v>035355</v>
      </c>
      <c r="C41" s="1" t="str">
        <f>("622454353558")</f>
        <v>622454353558</v>
      </c>
      <c r="D41" s="1" t="s">
        <v>92</v>
      </c>
      <c r="E41" t="s">
        <v>93</v>
      </c>
      <c r="F41" s="3">
        <v>20.851063829787236</v>
      </c>
      <c r="G41" s="1" t="s">
        <v>14</v>
      </c>
      <c r="H41" s="2">
        <v>44621</v>
      </c>
      <c r="I41" s="1">
        <v>0.15</v>
      </c>
      <c r="J41" s="1">
        <v>0.33100000000000002</v>
      </c>
      <c r="K41" s="1">
        <v>10</v>
      </c>
      <c r="L41" s="1" t="s">
        <v>15</v>
      </c>
    </row>
    <row r="42" spans="1:12" x14ac:dyDescent="0.25">
      <c r="A42" s="1" t="s">
        <v>468</v>
      </c>
      <c r="B42" s="1" t="str">
        <f>("035356")</f>
        <v>035356</v>
      </c>
      <c r="C42" s="1" t="str">
        <f>("622454353565")</f>
        <v>622454353565</v>
      </c>
      <c r="D42" s="1" t="s">
        <v>94</v>
      </c>
      <c r="E42" t="s">
        <v>95</v>
      </c>
      <c r="F42" s="3">
        <v>20.851063829787236</v>
      </c>
      <c r="G42" s="1" t="s">
        <v>14</v>
      </c>
      <c r="H42" s="2">
        <v>44621</v>
      </c>
      <c r="I42" s="1">
        <v>0.191</v>
      </c>
      <c r="J42" s="1">
        <v>0.42099999999999999</v>
      </c>
      <c r="K42" s="1">
        <v>10</v>
      </c>
      <c r="L42" s="1" t="s">
        <v>15</v>
      </c>
    </row>
    <row r="43" spans="1:12" x14ac:dyDescent="0.25">
      <c r="A43" s="1" t="s">
        <v>468</v>
      </c>
      <c r="B43" s="1" t="str">
        <f>("035108")</f>
        <v>035108</v>
      </c>
      <c r="C43" s="1" t="str">
        <f>("622454351080")</f>
        <v>622454351080</v>
      </c>
      <c r="D43" s="1" t="s">
        <v>96</v>
      </c>
      <c r="E43" t="s">
        <v>97</v>
      </c>
      <c r="F43" s="3">
        <v>8.4468085106382986</v>
      </c>
      <c r="G43" s="1" t="s">
        <v>14</v>
      </c>
      <c r="H43" s="2">
        <v>44621</v>
      </c>
      <c r="I43" s="1">
        <v>1.4E-2</v>
      </c>
      <c r="J43" s="1">
        <v>3.1E-2</v>
      </c>
      <c r="K43" s="1">
        <v>50</v>
      </c>
      <c r="L43" s="1" t="s">
        <v>15</v>
      </c>
    </row>
    <row r="44" spans="1:12" x14ac:dyDescent="0.25">
      <c r="A44" s="1" t="s">
        <v>468</v>
      </c>
      <c r="B44" s="1" t="str">
        <f>("035109")</f>
        <v>035109</v>
      </c>
      <c r="C44" s="1" t="str">
        <f>("622454351097")</f>
        <v>622454351097</v>
      </c>
      <c r="D44" s="1" t="s">
        <v>98</v>
      </c>
      <c r="E44" t="s">
        <v>99</v>
      </c>
      <c r="F44" s="3">
        <v>1.7021276595744683</v>
      </c>
      <c r="G44" s="1" t="s">
        <v>14</v>
      </c>
      <c r="H44" s="2">
        <v>44621</v>
      </c>
      <c r="I44" s="1">
        <v>2.8000000000000001E-2</v>
      </c>
      <c r="J44" s="1">
        <v>6.2E-2</v>
      </c>
      <c r="K44" s="1">
        <v>125</v>
      </c>
      <c r="L44" s="1" t="s">
        <v>15</v>
      </c>
    </row>
    <row r="45" spans="1:12" x14ac:dyDescent="0.25">
      <c r="A45" s="1" t="s">
        <v>468</v>
      </c>
      <c r="B45" s="1" t="str">
        <f>("035110")</f>
        <v>035110</v>
      </c>
      <c r="C45" s="1" t="str">
        <f>("622454351103")</f>
        <v>622454351103</v>
      </c>
      <c r="D45" s="1" t="s">
        <v>100</v>
      </c>
      <c r="E45" t="s">
        <v>101</v>
      </c>
      <c r="F45" s="3">
        <v>1.8829787234042554</v>
      </c>
      <c r="G45" s="1" t="s">
        <v>14</v>
      </c>
      <c r="H45" s="2">
        <v>44621</v>
      </c>
      <c r="I45" s="1">
        <v>3.9E-2</v>
      </c>
      <c r="J45" s="1">
        <v>8.5999999999999993E-2</v>
      </c>
      <c r="K45" s="1">
        <v>75</v>
      </c>
      <c r="L45" s="1" t="s">
        <v>15</v>
      </c>
    </row>
    <row r="46" spans="1:12" x14ac:dyDescent="0.25">
      <c r="A46" s="1" t="s">
        <v>468</v>
      </c>
      <c r="B46" s="1" t="str">
        <f>("035111")</f>
        <v>035111</v>
      </c>
      <c r="C46" s="1" t="str">
        <f>("622454351110")</f>
        <v>622454351110</v>
      </c>
      <c r="D46" s="1" t="s">
        <v>102</v>
      </c>
      <c r="E46" t="s">
        <v>103</v>
      </c>
      <c r="F46" s="3">
        <v>3.4042553191489366</v>
      </c>
      <c r="G46" s="1" t="s">
        <v>14</v>
      </c>
      <c r="H46" s="2">
        <v>44621</v>
      </c>
      <c r="I46" s="1">
        <v>6.3E-2</v>
      </c>
      <c r="J46" s="1">
        <v>0.13900000000000001</v>
      </c>
      <c r="K46" s="1">
        <v>75</v>
      </c>
      <c r="L46" s="1" t="s">
        <v>15</v>
      </c>
    </row>
    <row r="47" spans="1:12" x14ac:dyDescent="0.25">
      <c r="A47" s="1" t="s">
        <v>468</v>
      </c>
      <c r="B47" s="1" t="str">
        <f>("035112")</f>
        <v>035112</v>
      </c>
      <c r="C47" s="1" t="str">
        <f>("622454351127")</f>
        <v>622454351127</v>
      </c>
      <c r="D47" s="1" t="s">
        <v>104</v>
      </c>
      <c r="E47" t="s">
        <v>105</v>
      </c>
      <c r="F47" s="3">
        <v>5.9787234042553195</v>
      </c>
      <c r="G47" s="1" t="s">
        <v>14</v>
      </c>
      <c r="H47" s="2">
        <v>44621</v>
      </c>
      <c r="I47" s="1">
        <v>0.11799999999999999</v>
      </c>
      <c r="J47" s="1">
        <v>0.26</v>
      </c>
      <c r="K47" s="1">
        <v>45</v>
      </c>
      <c r="L47" s="1" t="s">
        <v>15</v>
      </c>
    </row>
    <row r="48" spans="1:12" x14ac:dyDescent="0.25">
      <c r="A48" s="1" t="s">
        <v>468</v>
      </c>
      <c r="B48" s="1" t="str">
        <f>("035113")</f>
        <v>035113</v>
      </c>
      <c r="C48" s="1" t="str">
        <f>("622454351134")</f>
        <v>622454351134</v>
      </c>
      <c r="D48" s="1" t="s">
        <v>106</v>
      </c>
      <c r="E48" t="s">
        <v>107</v>
      </c>
      <c r="F48" s="3">
        <v>6.3510638297872344</v>
      </c>
      <c r="G48" s="1" t="s">
        <v>14</v>
      </c>
      <c r="H48" s="2">
        <v>44621</v>
      </c>
      <c r="I48" s="1">
        <v>0.155</v>
      </c>
      <c r="J48" s="1">
        <v>0.34200000000000003</v>
      </c>
      <c r="K48" s="1">
        <v>30</v>
      </c>
      <c r="L48" s="1" t="s">
        <v>15</v>
      </c>
    </row>
    <row r="49" spans="1:12" x14ac:dyDescent="0.25">
      <c r="A49" s="1" t="s">
        <v>468</v>
      </c>
      <c r="B49" s="1" t="str">
        <f>("035114")</f>
        <v>035114</v>
      </c>
      <c r="C49" s="1" t="str">
        <f>("622454351141")</f>
        <v>622454351141</v>
      </c>
      <c r="D49" s="1" t="s">
        <v>108</v>
      </c>
      <c r="E49" t="s">
        <v>109</v>
      </c>
      <c r="F49" s="3">
        <v>10.223404255319149</v>
      </c>
      <c r="G49" s="1" t="s">
        <v>14</v>
      </c>
      <c r="H49" s="2">
        <v>44621</v>
      </c>
      <c r="I49" s="1">
        <v>0.16600000000000001</v>
      </c>
      <c r="J49" s="1">
        <v>0.36599999999999999</v>
      </c>
      <c r="K49" s="1">
        <v>20</v>
      </c>
      <c r="L49" s="1" t="s">
        <v>15</v>
      </c>
    </row>
    <row r="50" spans="1:12" x14ac:dyDescent="0.25">
      <c r="A50" s="1" t="s">
        <v>468</v>
      </c>
      <c r="B50" s="1" t="str">
        <f>("035115")</f>
        <v>035115</v>
      </c>
      <c r="C50" s="1" t="str">
        <f>("622454351158")</f>
        <v>622454351158</v>
      </c>
      <c r="D50" s="1" t="s">
        <v>110</v>
      </c>
      <c r="E50" t="s">
        <v>111</v>
      </c>
      <c r="F50" s="3">
        <v>30.734042553191493</v>
      </c>
      <c r="G50" s="1" t="s">
        <v>14</v>
      </c>
      <c r="H50" s="2">
        <v>44621</v>
      </c>
      <c r="I50" s="1">
        <v>0.36</v>
      </c>
      <c r="J50" s="1">
        <v>0.79400000000000004</v>
      </c>
      <c r="K50" s="1">
        <v>12</v>
      </c>
      <c r="L50" s="1" t="s">
        <v>15</v>
      </c>
    </row>
    <row r="51" spans="1:12" x14ac:dyDescent="0.25">
      <c r="A51" s="1" t="s">
        <v>468</v>
      </c>
      <c r="B51" s="1" t="str">
        <f>("035116")</f>
        <v>035116</v>
      </c>
      <c r="C51" s="1" t="str">
        <f>("622454351165")</f>
        <v>622454351165</v>
      </c>
      <c r="D51" s="1" t="s">
        <v>112</v>
      </c>
      <c r="E51" t="s">
        <v>113</v>
      </c>
      <c r="F51" s="3">
        <v>36.819148936170215</v>
      </c>
      <c r="G51" s="1" t="s">
        <v>14</v>
      </c>
      <c r="H51" s="2">
        <v>44621</v>
      </c>
      <c r="I51" s="1">
        <v>0.52</v>
      </c>
      <c r="J51" s="1">
        <v>1.1459999999999999</v>
      </c>
      <c r="K51" s="1">
        <v>10</v>
      </c>
      <c r="L51" s="1" t="s">
        <v>15</v>
      </c>
    </row>
    <row r="52" spans="1:12" x14ac:dyDescent="0.25">
      <c r="A52" s="1" t="s">
        <v>468</v>
      </c>
      <c r="B52" s="1" t="str">
        <f>("035117")</f>
        <v>035117</v>
      </c>
      <c r="C52" s="1" t="str">
        <f>("622454351172")</f>
        <v>622454351172</v>
      </c>
      <c r="D52" s="1" t="s">
        <v>114</v>
      </c>
      <c r="E52" t="s">
        <v>115</v>
      </c>
      <c r="F52" s="3">
        <v>65.882978723404264</v>
      </c>
      <c r="G52" s="1" t="s">
        <v>14</v>
      </c>
      <c r="H52" s="2">
        <v>44621</v>
      </c>
      <c r="I52" s="1">
        <v>0.89400000000000002</v>
      </c>
      <c r="J52" s="1">
        <v>1.9710000000000001</v>
      </c>
      <c r="K52" s="1">
        <v>5</v>
      </c>
      <c r="L52" s="1" t="s">
        <v>15</v>
      </c>
    </row>
    <row r="53" spans="1:12" x14ac:dyDescent="0.25">
      <c r="A53" s="1" t="s">
        <v>468</v>
      </c>
      <c r="B53" s="1" t="str">
        <f>("035118")</f>
        <v>035118</v>
      </c>
      <c r="C53" s="1" t="str">
        <f>("622454351189")</f>
        <v>622454351189</v>
      </c>
      <c r="D53" s="1" t="s">
        <v>116</v>
      </c>
      <c r="E53" t="s">
        <v>117</v>
      </c>
      <c r="F53" s="3">
        <v>170.32978723404258</v>
      </c>
      <c r="G53" s="1" t="s">
        <v>14</v>
      </c>
      <c r="H53" s="2">
        <v>44621</v>
      </c>
      <c r="I53" s="1">
        <v>1.542</v>
      </c>
      <c r="J53" s="1">
        <v>3.4</v>
      </c>
      <c r="K53" s="1">
        <v>4</v>
      </c>
      <c r="L53" s="1" t="s">
        <v>15</v>
      </c>
    </row>
    <row r="54" spans="1:12" x14ac:dyDescent="0.25">
      <c r="A54" s="1" t="s">
        <v>468</v>
      </c>
      <c r="B54" s="1" t="str">
        <f>("035119")</f>
        <v>035119</v>
      </c>
      <c r="C54" s="1" t="str">
        <f>("622454351196")</f>
        <v>622454351196</v>
      </c>
      <c r="D54" s="1" t="s">
        <v>118</v>
      </c>
      <c r="E54" t="s">
        <v>119</v>
      </c>
      <c r="F54" s="3">
        <v>209.60638297872342</v>
      </c>
      <c r="G54" s="1" t="s">
        <v>14</v>
      </c>
      <c r="H54" s="2">
        <v>44621</v>
      </c>
      <c r="I54" s="1">
        <v>2.1139999999999999</v>
      </c>
      <c r="J54" s="1">
        <v>4.6609999999999996</v>
      </c>
      <c r="K54" s="1">
        <v>6</v>
      </c>
      <c r="L54" s="1" t="s">
        <v>15</v>
      </c>
    </row>
    <row r="55" spans="1:12" x14ac:dyDescent="0.25">
      <c r="A55" s="1" t="s">
        <v>468</v>
      </c>
      <c r="B55" s="1" t="str">
        <f>("035120")</f>
        <v>035120</v>
      </c>
      <c r="C55" s="1" t="str">
        <f>("622454351202")</f>
        <v>622454351202</v>
      </c>
      <c r="D55" s="1" t="s">
        <v>120</v>
      </c>
      <c r="E55" t="s">
        <v>121</v>
      </c>
      <c r="F55" s="3">
        <v>539.72340425531911</v>
      </c>
      <c r="G55" s="1" t="s">
        <v>14</v>
      </c>
      <c r="H55" s="2">
        <v>44621</v>
      </c>
      <c r="I55" s="1">
        <v>4.4180000000000001</v>
      </c>
      <c r="J55" s="1">
        <v>9.74</v>
      </c>
      <c r="K55" s="1">
        <v>2</v>
      </c>
      <c r="L55" s="1" t="s">
        <v>15</v>
      </c>
    </row>
    <row r="56" spans="1:12" x14ac:dyDescent="0.25">
      <c r="A56" s="1" t="s">
        <v>468</v>
      </c>
      <c r="B56" s="1" t="str">
        <f>("035101")</f>
        <v>035101</v>
      </c>
      <c r="C56" s="1" t="str">
        <f>("622454351011")</f>
        <v>622454351011</v>
      </c>
      <c r="D56" s="1" t="s">
        <v>122</v>
      </c>
      <c r="E56" t="s">
        <v>123</v>
      </c>
      <c r="F56" s="3">
        <v>2.1382978723404253</v>
      </c>
      <c r="G56" s="1" t="s">
        <v>14</v>
      </c>
      <c r="H56" s="2">
        <v>44621</v>
      </c>
      <c r="I56" s="1">
        <v>2.7E-2</v>
      </c>
      <c r="J56" s="1">
        <v>0.06</v>
      </c>
      <c r="K56" s="1">
        <v>50</v>
      </c>
      <c r="L56" s="1" t="s">
        <v>15</v>
      </c>
    </row>
    <row r="57" spans="1:12" x14ac:dyDescent="0.25">
      <c r="A57" s="1" t="s">
        <v>468</v>
      </c>
      <c r="B57" s="1" t="str">
        <f>("035102")</f>
        <v>035102</v>
      </c>
      <c r="C57" s="1" t="str">
        <f>("622454351028")</f>
        <v>622454351028</v>
      </c>
      <c r="D57" s="1" t="s">
        <v>124</v>
      </c>
      <c r="E57" t="s">
        <v>125</v>
      </c>
      <c r="F57" s="3">
        <v>2.4148936170212769</v>
      </c>
      <c r="G57" s="1" t="s">
        <v>14</v>
      </c>
      <c r="H57" s="2">
        <v>44621</v>
      </c>
      <c r="I57" s="1">
        <v>3.5999999999999997E-2</v>
      </c>
      <c r="J57" s="1">
        <v>7.9000000000000001E-2</v>
      </c>
      <c r="K57" s="1">
        <v>50</v>
      </c>
      <c r="L57" s="1" t="s">
        <v>15</v>
      </c>
    </row>
    <row r="58" spans="1:12" x14ac:dyDescent="0.25">
      <c r="A58" s="1" t="s">
        <v>468</v>
      </c>
      <c r="B58" s="1" t="str">
        <f>("035103")</f>
        <v>035103</v>
      </c>
      <c r="C58" s="1" t="str">
        <f>("622454351035")</f>
        <v>622454351035</v>
      </c>
      <c r="D58" s="1" t="s">
        <v>126</v>
      </c>
      <c r="E58" t="s">
        <v>127</v>
      </c>
      <c r="F58" s="3">
        <v>4.4787234042553195</v>
      </c>
      <c r="G58" s="1" t="s">
        <v>14</v>
      </c>
      <c r="H58" s="2">
        <v>44621</v>
      </c>
      <c r="I58" s="1">
        <v>7.2999999999999995E-2</v>
      </c>
      <c r="J58" s="1">
        <v>0.161</v>
      </c>
      <c r="K58" s="1">
        <v>50</v>
      </c>
      <c r="L58" s="1" t="s">
        <v>15</v>
      </c>
    </row>
    <row r="59" spans="1:12" x14ac:dyDescent="0.25">
      <c r="A59" s="1" t="s">
        <v>468</v>
      </c>
      <c r="B59" s="1" t="str">
        <f>("035104")</f>
        <v>035104</v>
      </c>
      <c r="C59" s="1" t="str">
        <f>("622454351042")</f>
        <v>622454351042</v>
      </c>
      <c r="D59" s="1" t="s">
        <v>128</v>
      </c>
      <c r="E59" t="s">
        <v>129</v>
      </c>
      <c r="F59" s="3">
        <v>7.5531914893617023</v>
      </c>
      <c r="G59" s="1" t="s">
        <v>14</v>
      </c>
      <c r="H59" s="2">
        <v>44621</v>
      </c>
      <c r="I59" s="1">
        <v>0.122</v>
      </c>
      <c r="J59" s="1">
        <v>0.26900000000000002</v>
      </c>
      <c r="K59" s="1">
        <v>25</v>
      </c>
      <c r="L59" s="1" t="s">
        <v>15</v>
      </c>
    </row>
    <row r="60" spans="1:12" x14ac:dyDescent="0.25">
      <c r="A60" s="1" t="s">
        <v>468</v>
      </c>
      <c r="B60" s="1" t="str">
        <f>("035105")</f>
        <v>035105</v>
      </c>
      <c r="C60" s="1" t="str">
        <f>("622454351059")</f>
        <v>622454351059</v>
      </c>
      <c r="D60" s="1" t="s">
        <v>130</v>
      </c>
      <c r="E60" t="s">
        <v>131</v>
      </c>
      <c r="F60" s="3">
        <v>8.3617021276595747</v>
      </c>
      <c r="G60" s="1" t="s">
        <v>14</v>
      </c>
      <c r="H60" s="2">
        <v>44621</v>
      </c>
      <c r="I60" s="1">
        <v>0.13600000000000001</v>
      </c>
      <c r="J60" s="1">
        <v>0.3</v>
      </c>
      <c r="K60" s="1">
        <v>25</v>
      </c>
      <c r="L60" s="1" t="s">
        <v>15</v>
      </c>
    </row>
    <row r="61" spans="1:12" x14ac:dyDescent="0.25">
      <c r="A61" s="1" t="s">
        <v>468</v>
      </c>
      <c r="B61" s="1" t="str">
        <f>("035106")</f>
        <v>035106</v>
      </c>
      <c r="C61" s="1" t="str">
        <f>("622454351066")</f>
        <v>622454351066</v>
      </c>
      <c r="D61" s="1" t="s">
        <v>132</v>
      </c>
      <c r="E61" t="s">
        <v>133</v>
      </c>
      <c r="F61" s="3">
        <v>21.638297872340427</v>
      </c>
      <c r="G61" s="1" t="s">
        <v>14</v>
      </c>
      <c r="H61" s="2">
        <v>44621</v>
      </c>
      <c r="I61" s="1">
        <v>0.24</v>
      </c>
      <c r="J61" s="1">
        <v>0.52900000000000003</v>
      </c>
      <c r="K61" s="1">
        <v>10</v>
      </c>
      <c r="L61" s="1" t="s">
        <v>15</v>
      </c>
    </row>
    <row r="62" spans="1:12" x14ac:dyDescent="0.25">
      <c r="A62" s="1" t="s">
        <v>468</v>
      </c>
      <c r="B62" s="1" t="str">
        <f>("035125")</f>
        <v>035125</v>
      </c>
      <c r="C62" s="1" t="str">
        <f>("622454351257")</f>
        <v>622454351257</v>
      </c>
      <c r="D62" s="1" t="s">
        <v>134</v>
      </c>
      <c r="E62" t="s">
        <v>135</v>
      </c>
      <c r="F62" s="3">
        <v>4.0957446808510642</v>
      </c>
      <c r="G62" s="1" t="s">
        <v>14</v>
      </c>
      <c r="H62" s="2">
        <v>44621</v>
      </c>
      <c r="I62" s="1">
        <v>3.2000000000000001E-2</v>
      </c>
      <c r="J62" s="1">
        <v>7.0999999999999994E-2</v>
      </c>
      <c r="K62" s="1">
        <v>50</v>
      </c>
      <c r="L62" s="1" t="s">
        <v>15</v>
      </c>
    </row>
    <row r="63" spans="1:12" x14ac:dyDescent="0.25">
      <c r="A63" s="1" t="s">
        <v>468</v>
      </c>
      <c r="B63" s="1" t="str">
        <f>("035126")</f>
        <v>035126</v>
      </c>
      <c r="C63" s="1" t="str">
        <f>("622454351264")</f>
        <v>622454351264</v>
      </c>
      <c r="D63" s="1" t="s">
        <v>136</v>
      </c>
      <c r="E63" t="s">
        <v>137</v>
      </c>
      <c r="F63" s="3">
        <v>6.1170212765957448</v>
      </c>
      <c r="G63" s="1" t="s">
        <v>14</v>
      </c>
      <c r="H63" s="2">
        <v>44621</v>
      </c>
      <c r="I63" s="1">
        <v>4.4999999999999998E-2</v>
      </c>
      <c r="J63" s="1">
        <v>9.9000000000000005E-2</v>
      </c>
      <c r="K63" s="1">
        <v>50</v>
      </c>
      <c r="L63" s="1" t="s">
        <v>15</v>
      </c>
    </row>
    <row r="64" spans="1:12" x14ac:dyDescent="0.25">
      <c r="A64" s="1" t="s">
        <v>468</v>
      </c>
      <c r="B64" s="1" t="str">
        <f>("035127")</f>
        <v>035127</v>
      </c>
      <c r="C64" s="1" t="str">
        <f>("622454351271")</f>
        <v>622454351271</v>
      </c>
      <c r="D64" s="1" t="s">
        <v>138</v>
      </c>
      <c r="E64" t="s">
        <v>139</v>
      </c>
      <c r="F64" s="3">
        <v>12.882978723404255</v>
      </c>
      <c r="G64" s="1" t="s">
        <v>14</v>
      </c>
      <c r="H64" s="2">
        <v>44621</v>
      </c>
      <c r="I64" s="1">
        <v>8.5999999999999993E-2</v>
      </c>
      <c r="J64" s="1">
        <v>0.19</v>
      </c>
      <c r="K64" s="1">
        <v>50</v>
      </c>
      <c r="L64" s="1" t="s">
        <v>15</v>
      </c>
    </row>
    <row r="65" spans="1:12" x14ac:dyDescent="0.25">
      <c r="A65" s="1" t="s">
        <v>468</v>
      </c>
      <c r="B65" s="1" t="str">
        <f>("035128")</f>
        <v>035128</v>
      </c>
      <c r="C65" s="1" t="str">
        <f>("622454351288")</f>
        <v>622454351288</v>
      </c>
      <c r="D65" s="1" t="s">
        <v>140</v>
      </c>
      <c r="E65" t="s">
        <v>141</v>
      </c>
      <c r="F65" s="3">
        <v>10.138297872340425</v>
      </c>
      <c r="G65" s="1" t="s">
        <v>14</v>
      </c>
      <c r="H65" s="2">
        <v>44621</v>
      </c>
      <c r="I65" s="1">
        <v>5.3999999999999999E-2</v>
      </c>
      <c r="J65" s="1">
        <v>0.11899999999999999</v>
      </c>
      <c r="K65" s="1">
        <v>50</v>
      </c>
      <c r="L65" s="1" t="s">
        <v>15</v>
      </c>
    </row>
    <row r="66" spans="1:12" x14ac:dyDescent="0.25">
      <c r="A66" s="1" t="s">
        <v>468</v>
      </c>
      <c r="B66" s="1" t="str">
        <f>("035129")</f>
        <v>035129</v>
      </c>
      <c r="C66" s="1" t="str">
        <f>("622454351295")</f>
        <v>622454351295</v>
      </c>
      <c r="D66" s="1" t="s">
        <v>142</v>
      </c>
      <c r="E66" t="s">
        <v>143</v>
      </c>
      <c r="F66" s="3">
        <v>13.297872340425533</v>
      </c>
      <c r="G66" s="1" t="s">
        <v>14</v>
      </c>
      <c r="H66" s="2">
        <v>44621</v>
      </c>
      <c r="I66" s="1">
        <v>0.14499999999999999</v>
      </c>
      <c r="J66" s="1">
        <v>0.32</v>
      </c>
      <c r="K66" s="1">
        <v>25</v>
      </c>
      <c r="L66" s="1" t="s">
        <v>15</v>
      </c>
    </row>
    <row r="67" spans="1:12" x14ac:dyDescent="0.25">
      <c r="A67" s="1" t="s">
        <v>468</v>
      </c>
      <c r="B67" s="1" t="str">
        <f>("035132")</f>
        <v>035132</v>
      </c>
      <c r="C67" s="1" t="str">
        <f>("622454351325")</f>
        <v>622454351325</v>
      </c>
      <c r="D67" s="1" t="s">
        <v>144</v>
      </c>
      <c r="E67" t="s">
        <v>145</v>
      </c>
      <c r="F67" s="3">
        <v>5.0106382978723403</v>
      </c>
      <c r="G67" s="1" t="s">
        <v>14</v>
      </c>
      <c r="H67" s="2">
        <v>44621</v>
      </c>
      <c r="I67" s="1">
        <v>1.7999999999999999E-2</v>
      </c>
      <c r="J67" s="1">
        <v>0.04</v>
      </c>
      <c r="K67" s="1">
        <v>50</v>
      </c>
      <c r="L67" s="1" t="s">
        <v>15</v>
      </c>
    </row>
    <row r="68" spans="1:12" x14ac:dyDescent="0.25">
      <c r="A68" s="1" t="s">
        <v>468</v>
      </c>
      <c r="B68" s="1" t="str">
        <f>("035133")</f>
        <v>035133</v>
      </c>
      <c r="C68" s="1" t="str">
        <f>("622454351332")</f>
        <v>622454351332</v>
      </c>
      <c r="D68" s="1" t="s">
        <v>146</v>
      </c>
      <c r="E68" t="s">
        <v>147</v>
      </c>
      <c r="F68" s="3">
        <v>6.1170212765957448</v>
      </c>
      <c r="G68" s="1" t="s">
        <v>14</v>
      </c>
      <c r="H68" s="2">
        <v>44621</v>
      </c>
      <c r="I68" s="1">
        <v>2.7E-2</v>
      </c>
      <c r="J68" s="1">
        <v>0.06</v>
      </c>
      <c r="K68" s="1">
        <v>50</v>
      </c>
      <c r="L68" s="1" t="s">
        <v>15</v>
      </c>
    </row>
    <row r="69" spans="1:12" x14ac:dyDescent="0.25">
      <c r="A69" s="1" t="s">
        <v>468</v>
      </c>
      <c r="B69" s="1" t="str">
        <f>("035134")</f>
        <v>035134</v>
      </c>
      <c r="C69" s="1" t="str">
        <f>("622454351349")</f>
        <v>622454351349</v>
      </c>
      <c r="D69" s="1" t="s">
        <v>148</v>
      </c>
      <c r="E69" t="s">
        <v>149</v>
      </c>
      <c r="F69" s="3">
        <v>10.393617021276595</v>
      </c>
      <c r="G69" s="1" t="s">
        <v>14</v>
      </c>
      <c r="H69" s="2">
        <v>44621</v>
      </c>
      <c r="I69" s="1">
        <v>4.4999999999999998E-2</v>
      </c>
      <c r="J69" s="1">
        <v>9.9000000000000005E-2</v>
      </c>
      <c r="K69" s="1">
        <v>50</v>
      </c>
      <c r="L69" s="1" t="s">
        <v>15</v>
      </c>
    </row>
    <row r="70" spans="1:12" x14ac:dyDescent="0.25">
      <c r="A70" s="1" t="s">
        <v>468</v>
      </c>
      <c r="B70" s="1" t="str">
        <f>("035135")</f>
        <v>035135</v>
      </c>
      <c r="C70" s="1" t="str">
        <f>("622454351356")</f>
        <v>622454351356</v>
      </c>
      <c r="D70" s="1" t="s">
        <v>150</v>
      </c>
      <c r="E70" t="s">
        <v>151</v>
      </c>
      <c r="F70" s="3">
        <v>14.01063829787234</v>
      </c>
      <c r="G70" s="1" t="s">
        <v>14</v>
      </c>
      <c r="H70" s="2">
        <v>44621</v>
      </c>
      <c r="I70" s="1">
        <v>9.0999999999999998E-2</v>
      </c>
      <c r="J70" s="1">
        <v>0.20100000000000001</v>
      </c>
      <c r="K70" s="1">
        <v>25</v>
      </c>
      <c r="L70" s="1" t="s">
        <v>15</v>
      </c>
    </row>
    <row r="71" spans="1:12" x14ac:dyDescent="0.25">
      <c r="A71" s="1" t="s">
        <v>468</v>
      </c>
      <c r="B71" s="1" t="str">
        <f>("035083")</f>
        <v>035083</v>
      </c>
      <c r="C71" s="1" t="str">
        <f>("622454350830")</f>
        <v>622454350830</v>
      </c>
      <c r="D71" s="1" t="s">
        <v>152</v>
      </c>
      <c r="E71" t="s">
        <v>153</v>
      </c>
      <c r="F71" s="3">
        <v>2.8191489361702127</v>
      </c>
      <c r="G71" s="1" t="s">
        <v>14</v>
      </c>
      <c r="H71" s="2">
        <v>44621</v>
      </c>
      <c r="I71" s="1">
        <v>0.02</v>
      </c>
      <c r="J71" s="1">
        <v>4.3999999999999997E-2</v>
      </c>
      <c r="K71" s="1">
        <v>100</v>
      </c>
      <c r="L71" s="1" t="s">
        <v>15</v>
      </c>
    </row>
    <row r="72" spans="1:12" x14ac:dyDescent="0.25">
      <c r="A72" s="1" t="s">
        <v>468</v>
      </c>
      <c r="B72" s="1" t="str">
        <f>("035084")</f>
        <v>035084</v>
      </c>
      <c r="C72" s="1" t="str">
        <f>("622454350847")</f>
        <v>622454350847</v>
      </c>
      <c r="D72" s="1" t="s">
        <v>154</v>
      </c>
      <c r="E72" t="s">
        <v>155</v>
      </c>
      <c r="F72" s="3">
        <v>4.2765957446808507</v>
      </c>
      <c r="G72" s="1" t="s">
        <v>14</v>
      </c>
      <c r="H72" s="2">
        <v>44621</v>
      </c>
      <c r="I72" s="1">
        <v>2.4E-2</v>
      </c>
      <c r="J72" s="1">
        <v>5.2999999999999999E-2</v>
      </c>
      <c r="K72" s="1">
        <v>75</v>
      </c>
      <c r="L72" s="1" t="s">
        <v>15</v>
      </c>
    </row>
    <row r="73" spans="1:12" x14ac:dyDescent="0.25">
      <c r="A73" s="1" t="s">
        <v>468</v>
      </c>
      <c r="B73" s="1" t="str">
        <f>("035085")</f>
        <v>035085</v>
      </c>
      <c r="C73" s="1" t="str">
        <f>("622454350854")</f>
        <v>622454350854</v>
      </c>
      <c r="D73" s="1" t="s">
        <v>156</v>
      </c>
      <c r="E73" t="s">
        <v>157</v>
      </c>
      <c r="F73" s="3">
        <v>5.1170212765957448</v>
      </c>
      <c r="G73" s="1" t="s">
        <v>14</v>
      </c>
      <c r="H73" s="2">
        <v>44621</v>
      </c>
      <c r="I73" s="1">
        <v>3.5999999999999997E-2</v>
      </c>
      <c r="J73" s="1">
        <v>7.9000000000000001E-2</v>
      </c>
      <c r="K73" s="1">
        <v>50</v>
      </c>
      <c r="L73" s="1" t="s">
        <v>15</v>
      </c>
    </row>
    <row r="74" spans="1:12" x14ac:dyDescent="0.25">
      <c r="A74" s="1" t="s">
        <v>468</v>
      </c>
      <c r="B74" s="1" t="str">
        <f>("035086")</f>
        <v>035086</v>
      </c>
      <c r="C74" s="1" t="str">
        <f>("622454350861")</f>
        <v>622454350861</v>
      </c>
      <c r="D74" s="1" t="s">
        <v>158</v>
      </c>
      <c r="E74" t="s">
        <v>159</v>
      </c>
      <c r="F74" s="3">
        <v>7.3297872340425529</v>
      </c>
      <c r="G74" s="1" t="s">
        <v>14</v>
      </c>
      <c r="H74" s="2">
        <v>44621</v>
      </c>
      <c r="I74" s="1">
        <v>7.3999999999999996E-2</v>
      </c>
      <c r="J74" s="1">
        <v>0.16300000000000001</v>
      </c>
      <c r="K74" s="1">
        <v>25</v>
      </c>
      <c r="L74" s="1" t="s">
        <v>15</v>
      </c>
    </row>
    <row r="75" spans="1:12" x14ac:dyDescent="0.25">
      <c r="A75" s="1" t="s">
        <v>468</v>
      </c>
      <c r="B75" s="1" t="str">
        <f>("035087")</f>
        <v>035087</v>
      </c>
      <c r="C75" s="1" t="str">
        <f>("622454350878")</f>
        <v>622454350878</v>
      </c>
      <c r="D75" s="1" t="s">
        <v>160</v>
      </c>
      <c r="E75" t="s">
        <v>161</v>
      </c>
      <c r="F75" s="3">
        <v>9.1170212765957448</v>
      </c>
      <c r="G75" s="1" t="s">
        <v>14</v>
      </c>
      <c r="H75" s="2">
        <v>44621</v>
      </c>
      <c r="I75" s="1">
        <v>7.8E-2</v>
      </c>
      <c r="J75" s="1">
        <v>0.17199999999999999</v>
      </c>
      <c r="K75" s="1">
        <v>40</v>
      </c>
      <c r="L75" s="1" t="s">
        <v>15</v>
      </c>
    </row>
    <row r="76" spans="1:12" x14ac:dyDescent="0.25">
      <c r="A76" s="1" t="s">
        <v>468</v>
      </c>
      <c r="B76" s="1" t="str">
        <f>("035088")</f>
        <v>035088</v>
      </c>
      <c r="C76" s="1" t="str">
        <f>("622454350885")</f>
        <v>622454350885</v>
      </c>
      <c r="D76" s="1" t="s">
        <v>162</v>
      </c>
      <c r="E76" t="s">
        <v>163</v>
      </c>
      <c r="F76" s="3">
        <v>11.861702127659575</v>
      </c>
      <c r="G76" s="1" t="s">
        <v>14</v>
      </c>
      <c r="H76" s="2">
        <v>44621</v>
      </c>
      <c r="I76" s="1">
        <v>0.127</v>
      </c>
      <c r="J76" s="1">
        <v>0.28000000000000003</v>
      </c>
      <c r="K76" s="1">
        <v>10</v>
      </c>
      <c r="L76" s="1" t="s">
        <v>15</v>
      </c>
    </row>
    <row r="77" spans="1:12" x14ac:dyDescent="0.25">
      <c r="A77" s="1" t="s">
        <v>468</v>
      </c>
      <c r="B77" s="1" t="str">
        <f>("035089")</f>
        <v>035089</v>
      </c>
      <c r="C77" s="1" t="str">
        <f>("622454350892")</f>
        <v>622454350892</v>
      </c>
      <c r="D77" s="1" t="s">
        <v>164</v>
      </c>
      <c r="E77" t="s">
        <v>165</v>
      </c>
      <c r="F77" s="3">
        <v>30.755319148936174</v>
      </c>
      <c r="G77" s="1" t="s">
        <v>14</v>
      </c>
      <c r="H77" s="2">
        <v>44621</v>
      </c>
      <c r="I77" s="1">
        <v>0.27</v>
      </c>
      <c r="J77" s="1">
        <v>0.59499999999999997</v>
      </c>
      <c r="K77" s="1">
        <v>10</v>
      </c>
      <c r="L77" s="1" t="s">
        <v>15</v>
      </c>
    </row>
    <row r="78" spans="1:12" x14ac:dyDescent="0.25">
      <c r="A78" s="1" t="s">
        <v>468</v>
      </c>
      <c r="B78" s="1" t="str">
        <f>("035090")</f>
        <v>035090</v>
      </c>
      <c r="C78" s="1" t="str">
        <f>("622454350908")</f>
        <v>622454350908</v>
      </c>
      <c r="D78" s="1" t="s">
        <v>166</v>
      </c>
      <c r="E78" t="s">
        <v>167</v>
      </c>
      <c r="F78" s="3">
        <v>47.829787234042556</v>
      </c>
      <c r="G78" s="1" t="s">
        <v>14</v>
      </c>
      <c r="H78" s="2">
        <v>44621</v>
      </c>
      <c r="I78" s="1">
        <v>0.372</v>
      </c>
      <c r="J78" s="1">
        <v>0.82</v>
      </c>
      <c r="K78" s="1">
        <v>10</v>
      </c>
      <c r="L78" s="1" t="s">
        <v>15</v>
      </c>
    </row>
    <row r="79" spans="1:12" x14ac:dyDescent="0.25">
      <c r="A79" s="1" t="s">
        <v>468</v>
      </c>
      <c r="B79" s="1" t="str">
        <f>("035091")</f>
        <v>035091</v>
      </c>
      <c r="C79" s="1" t="str">
        <f>("622454350915")</f>
        <v>622454350915</v>
      </c>
      <c r="D79" s="1" t="s">
        <v>168</v>
      </c>
      <c r="E79" t="s">
        <v>169</v>
      </c>
      <c r="F79" s="3">
        <v>85.936170212765958</v>
      </c>
      <c r="G79" s="1" t="s">
        <v>14</v>
      </c>
      <c r="H79" s="2">
        <v>44621</v>
      </c>
      <c r="I79" s="1">
        <v>0.60599999999999998</v>
      </c>
      <c r="J79" s="1">
        <v>1.3360000000000001</v>
      </c>
      <c r="K79" s="1">
        <v>5</v>
      </c>
      <c r="L79" s="1" t="s">
        <v>15</v>
      </c>
    </row>
    <row r="80" spans="1:12" x14ac:dyDescent="0.25">
      <c r="A80" s="1" t="s">
        <v>468</v>
      </c>
      <c r="B80" s="1" t="str">
        <f>("035092")</f>
        <v>035092</v>
      </c>
      <c r="C80" s="1" t="str">
        <f>("622454350922")</f>
        <v>622454350922</v>
      </c>
      <c r="D80" s="1" t="s">
        <v>170</v>
      </c>
      <c r="E80" t="s">
        <v>171</v>
      </c>
      <c r="F80" s="3">
        <v>170.32978723404258</v>
      </c>
      <c r="G80" s="1" t="s">
        <v>14</v>
      </c>
      <c r="H80" s="2">
        <v>44621</v>
      </c>
      <c r="I80" s="1">
        <v>1.089</v>
      </c>
      <c r="J80" s="1">
        <v>2.4009999999999998</v>
      </c>
      <c r="K80" s="1">
        <v>5</v>
      </c>
      <c r="L80" s="1" t="s">
        <v>15</v>
      </c>
    </row>
    <row r="81" spans="1:12" x14ac:dyDescent="0.25">
      <c r="A81" s="1" t="s">
        <v>468</v>
      </c>
      <c r="B81" s="1" t="str">
        <f>("035093")</f>
        <v>035093</v>
      </c>
      <c r="C81" s="1" t="str">
        <f>("622454350939")</f>
        <v>622454350939</v>
      </c>
      <c r="D81" s="1" t="s">
        <v>172</v>
      </c>
      <c r="E81" t="s">
        <v>173</v>
      </c>
      <c r="F81" s="3">
        <v>212.11702127659575</v>
      </c>
      <c r="G81" s="1" t="s">
        <v>14</v>
      </c>
      <c r="H81" s="2">
        <v>44621</v>
      </c>
      <c r="I81" s="1">
        <v>2.1419999999999999</v>
      </c>
      <c r="J81" s="1">
        <v>4.7220000000000004</v>
      </c>
      <c r="K81" s="1">
        <v>4</v>
      </c>
      <c r="L81" s="1" t="s">
        <v>15</v>
      </c>
    </row>
    <row r="82" spans="1:12" x14ac:dyDescent="0.25">
      <c r="A82" s="1" t="s">
        <v>468</v>
      </c>
      <c r="B82" s="1" t="str">
        <f>("035094")</f>
        <v>035094</v>
      </c>
      <c r="C82" s="1" t="str">
        <f>("622454350946")</f>
        <v>622454350946</v>
      </c>
      <c r="D82" s="1" t="s">
        <v>174</v>
      </c>
      <c r="E82" t="s">
        <v>175</v>
      </c>
      <c r="F82" s="3">
        <v>510.10638297872345</v>
      </c>
      <c r="G82" s="1" t="s">
        <v>14</v>
      </c>
      <c r="H82" s="2">
        <v>44621</v>
      </c>
      <c r="I82" s="1">
        <v>3.2559999999999998</v>
      </c>
      <c r="J82" s="1">
        <v>7.1779999999999999</v>
      </c>
      <c r="K82" s="1">
        <v>3</v>
      </c>
      <c r="L82" s="1" t="s">
        <v>15</v>
      </c>
    </row>
    <row r="83" spans="1:12" x14ac:dyDescent="0.25">
      <c r="A83" s="1" t="s">
        <v>468</v>
      </c>
      <c r="B83" s="1" t="str">
        <f>("035590")</f>
        <v>035590</v>
      </c>
      <c r="C83" s="1" t="str">
        <f>("622454355903")</f>
        <v>622454355903</v>
      </c>
      <c r="D83" s="1" t="s">
        <v>176</v>
      </c>
      <c r="E83" t="s">
        <v>177</v>
      </c>
      <c r="F83" s="3">
        <v>4.2978723404255321</v>
      </c>
      <c r="G83" s="1" t="s">
        <v>14</v>
      </c>
      <c r="H83" s="2">
        <v>44621</v>
      </c>
      <c r="I83" s="1">
        <v>4.4999999999999998E-2</v>
      </c>
      <c r="J83" s="1">
        <v>9.9000000000000005E-2</v>
      </c>
      <c r="K83" s="1">
        <v>50</v>
      </c>
      <c r="L83" s="1" t="s">
        <v>15</v>
      </c>
    </row>
    <row r="84" spans="1:12" x14ac:dyDescent="0.25">
      <c r="A84" s="1" t="s">
        <v>468</v>
      </c>
      <c r="B84" s="1" t="str">
        <f>("035017")</f>
        <v>035017</v>
      </c>
      <c r="C84" s="1" t="str">
        <f>("622454350175")</f>
        <v>622454350175</v>
      </c>
      <c r="D84" s="1" t="s">
        <v>178</v>
      </c>
      <c r="E84" t="s">
        <v>179</v>
      </c>
      <c r="F84" s="3">
        <v>1.5851063829787235</v>
      </c>
      <c r="G84" s="1" t="s">
        <v>14</v>
      </c>
      <c r="H84" s="2">
        <v>44621</v>
      </c>
      <c r="I84" s="1">
        <v>1.2E-2</v>
      </c>
      <c r="J84" s="1">
        <v>2.5999999999999999E-2</v>
      </c>
      <c r="K84" s="1">
        <v>200</v>
      </c>
      <c r="L84" s="1" t="s">
        <v>15</v>
      </c>
    </row>
    <row r="85" spans="1:12" x14ac:dyDescent="0.25">
      <c r="A85" s="1" t="s">
        <v>468</v>
      </c>
      <c r="B85" s="1" t="str">
        <f>("035018")</f>
        <v>035018</v>
      </c>
      <c r="C85" s="1" t="str">
        <f>("622454350182")</f>
        <v>622454350182</v>
      </c>
      <c r="D85" s="1" t="s">
        <v>180</v>
      </c>
      <c r="E85" t="s">
        <v>181</v>
      </c>
      <c r="F85" s="3">
        <v>1.7978723404255319</v>
      </c>
      <c r="G85" s="1" t="s">
        <v>14</v>
      </c>
      <c r="H85" s="2">
        <v>44621</v>
      </c>
      <c r="I85" s="1">
        <v>1.7999999999999999E-2</v>
      </c>
      <c r="J85" s="1">
        <v>0.04</v>
      </c>
      <c r="K85" s="1">
        <v>150</v>
      </c>
      <c r="L85" s="1" t="s">
        <v>15</v>
      </c>
    </row>
    <row r="86" spans="1:12" x14ac:dyDescent="0.25">
      <c r="A86" s="1" t="s">
        <v>468</v>
      </c>
      <c r="B86" s="1" t="str">
        <f>("035019")</f>
        <v>035019</v>
      </c>
      <c r="C86" s="1" t="str">
        <f>("622454350199")</f>
        <v>622454350199</v>
      </c>
      <c r="D86" s="1" t="s">
        <v>182</v>
      </c>
      <c r="E86" t="s">
        <v>183</v>
      </c>
      <c r="F86" s="3">
        <v>2.8191489361702127</v>
      </c>
      <c r="G86" s="1" t="s">
        <v>14</v>
      </c>
      <c r="H86" s="2">
        <v>44621</v>
      </c>
      <c r="I86" s="1">
        <v>3.2000000000000001E-2</v>
      </c>
      <c r="J86" s="1">
        <v>7.0999999999999994E-2</v>
      </c>
      <c r="K86" s="1">
        <v>100</v>
      </c>
      <c r="L86" s="1" t="s">
        <v>15</v>
      </c>
    </row>
    <row r="87" spans="1:12" x14ac:dyDescent="0.25">
      <c r="A87" s="1" t="s">
        <v>468</v>
      </c>
      <c r="B87" s="1" t="str">
        <f>("035020")</f>
        <v>035020</v>
      </c>
      <c r="C87" s="1" t="str">
        <f>("622454350205")</f>
        <v>622454350205</v>
      </c>
      <c r="D87" s="1" t="s">
        <v>184</v>
      </c>
      <c r="E87" t="s">
        <v>185</v>
      </c>
      <c r="F87" s="3">
        <v>3.9468085106382982</v>
      </c>
      <c r="G87" s="1" t="s">
        <v>14</v>
      </c>
      <c r="H87" s="2">
        <v>44621</v>
      </c>
      <c r="I87" s="1">
        <v>4.9000000000000002E-2</v>
      </c>
      <c r="J87" s="1">
        <v>0.108</v>
      </c>
      <c r="K87" s="1">
        <v>40</v>
      </c>
      <c r="L87" s="1" t="s">
        <v>15</v>
      </c>
    </row>
    <row r="88" spans="1:12" x14ac:dyDescent="0.25">
      <c r="A88" s="1" t="s">
        <v>468</v>
      </c>
      <c r="B88" s="1" t="str">
        <f>("035021")</f>
        <v>035021</v>
      </c>
      <c r="C88" s="1" t="str">
        <f>("622454350212")</f>
        <v>622454350212</v>
      </c>
      <c r="D88" s="1" t="s">
        <v>186</v>
      </c>
      <c r="E88" t="s">
        <v>187</v>
      </c>
      <c r="F88" s="3">
        <v>4.2765957446808507</v>
      </c>
      <c r="G88" s="1" t="s">
        <v>14</v>
      </c>
      <c r="H88" s="2">
        <v>44621</v>
      </c>
      <c r="I88" s="1">
        <v>6.2E-2</v>
      </c>
      <c r="J88" s="1">
        <v>0.13700000000000001</v>
      </c>
      <c r="K88" s="1">
        <v>40</v>
      </c>
      <c r="L88" s="1" t="s">
        <v>15</v>
      </c>
    </row>
    <row r="89" spans="1:12" x14ac:dyDescent="0.25">
      <c r="A89" s="1" t="s">
        <v>468</v>
      </c>
      <c r="B89" s="1" t="str">
        <f>("035022")</f>
        <v>035022</v>
      </c>
      <c r="C89" s="1" t="str">
        <f>("622454350229")</f>
        <v>622454350229</v>
      </c>
      <c r="D89" s="1" t="s">
        <v>188</v>
      </c>
      <c r="E89" t="s">
        <v>189</v>
      </c>
      <c r="F89" s="3">
        <v>5.1914893617021276</v>
      </c>
      <c r="G89" s="1" t="s">
        <v>14</v>
      </c>
      <c r="H89" s="2">
        <v>44621</v>
      </c>
      <c r="I89" s="1">
        <v>8.4000000000000005E-2</v>
      </c>
      <c r="J89" s="1">
        <v>0.185</v>
      </c>
      <c r="K89" s="1">
        <v>25</v>
      </c>
      <c r="L89" s="1" t="s">
        <v>15</v>
      </c>
    </row>
    <row r="90" spans="1:12" x14ac:dyDescent="0.25">
      <c r="A90" s="1" t="s">
        <v>468</v>
      </c>
      <c r="B90" s="1" t="str">
        <f>("035023")</f>
        <v>035023</v>
      </c>
      <c r="C90" s="1" t="str">
        <f>("622454350236")</f>
        <v>622454350236</v>
      </c>
      <c r="D90" s="1" t="s">
        <v>190</v>
      </c>
      <c r="E90" t="s">
        <v>191</v>
      </c>
      <c r="F90" s="3">
        <v>16.595744680851066</v>
      </c>
      <c r="G90" s="1" t="s">
        <v>14</v>
      </c>
      <c r="H90" s="2">
        <v>44621</v>
      </c>
      <c r="I90" s="1">
        <v>0.17</v>
      </c>
      <c r="J90" s="1">
        <v>0.375</v>
      </c>
      <c r="K90" s="1">
        <v>15</v>
      </c>
      <c r="L90" s="1" t="s">
        <v>15</v>
      </c>
    </row>
    <row r="91" spans="1:12" x14ac:dyDescent="0.25">
      <c r="A91" s="1" t="s">
        <v>468</v>
      </c>
      <c r="B91" s="1" t="str">
        <f>("035024")</f>
        <v>035024</v>
      </c>
      <c r="C91" s="1" t="str">
        <f>("622454350243")</f>
        <v>622454350243</v>
      </c>
      <c r="D91" s="1" t="s">
        <v>192</v>
      </c>
      <c r="E91" t="s">
        <v>193</v>
      </c>
      <c r="F91" s="3">
        <v>18.095744680851066</v>
      </c>
      <c r="G91" s="1" t="s">
        <v>14</v>
      </c>
      <c r="H91" s="2">
        <v>44621</v>
      </c>
      <c r="I91" s="1">
        <v>0.22600000000000001</v>
      </c>
      <c r="J91" s="1">
        <v>0.498</v>
      </c>
      <c r="K91" s="1">
        <v>10</v>
      </c>
      <c r="L91" s="1" t="s">
        <v>15</v>
      </c>
    </row>
    <row r="92" spans="1:12" x14ac:dyDescent="0.25">
      <c r="A92" s="1" t="s">
        <v>468</v>
      </c>
      <c r="B92" s="1" t="str">
        <f>("035025")</f>
        <v>035025</v>
      </c>
      <c r="C92" s="1" t="str">
        <f>("622454350250")</f>
        <v>622454350250</v>
      </c>
      <c r="D92" s="1" t="s">
        <v>194</v>
      </c>
      <c r="E92" t="s">
        <v>195</v>
      </c>
      <c r="F92" s="3">
        <v>41.202127659574465</v>
      </c>
      <c r="G92" s="1" t="s">
        <v>14</v>
      </c>
      <c r="H92" s="2">
        <v>44621</v>
      </c>
      <c r="I92" s="1">
        <v>0.39600000000000002</v>
      </c>
      <c r="J92" s="1">
        <v>0.873</v>
      </c>
      <c r="K92" s="1">
        <v>12</v>
      </c>
      <c r="L92" s="1" t="s">
        <v>15</v>
      </c>
    </row>
    <row r="93" spans="1:12" x14ac:dyDescent="0.25">
      <c r="A93" s="1" t="s">
        <v>468</v>
      </c>
      <c r="B93" s="1" t="str">
        <f>("035026")</f>
        <v>035026</v>
      </c>
      <c r="C93" s="1" t="str">
        <f>("622454350267")</f>
        <v>622454350267</v>
      </c>
      <c r="D93" s="1" t="s">
        <v>196</v>
      </c>
      <c r="E93" t="s">
        <v>197</v>
      </c>
      <c r="F93" s="3">
        <v>69.11702127659575</v>
      </c>
      <c r="G93" s="1" t="s">
        <v>14</v>
      </c>
      <c r="H93" s="2">
        <v>44621</v>
      </c>
      <c r="I93" s="1">
        <v>0.63500000000000001</v>
      </c>
      <c r="J93" s="1">
        <v>1.4</v>
      </c>
      <c r="K93" s="1">
        <v>5</v>
      </c>
      <c r="L93" s="1" t="s">
        <v>15</v>
      </c>
    </row>
    <row r="94" spans="1:12" x14ac:dyDescent="0.25">
      <c r="A94" s="1" t="s">
        <v>468</v>
      </c>
      <c r="B94" s="1" t="str">
        <f>("035027")</f>
        <v>035027</v>
      </c>
      <c r="C94" s="1" t="str">
        <f>("622454350274")</f>
        <v>622454350274</v>
      </c>
      <c r="D94" s="1" t="s">
        <v>198</v>
      </c>
      <c r="E94" t="s">
        <v>199</v>
      </c>
      <c r="F94" s="3">
        <v>98.680851063829792</v>
      </c>
      <c r="G94" s="1" t="s">
        <v>14</v>
      </c>
      <c r="H94" s="2">
        <v>44621</v>
      </c>
      <c r="I94" s="1">
        <v>0.92600000000000005</v>
      </c>
      <c r="J94" s="1">
        <v>2.0409999999999999</v>
      </c>
      <c r="K94" s="1">
        <v>6</v>
      </c>
      <c r="L94" s="1" t="s">
        <v>15</v>
      </c>
    </row>
    <row r="95" spans="1:12" x14ac:dyDescent="0.25">
      <c r="A95" s="1" t="s">
        <v>468</v>
      </c>
      <c r="B95" s="1" t="str">
        <f>("035028")</f>
        <v>035028</v>
      </c>
      <c r="C95" s="1" t="str">
        <f>("622454350281")</f>
        <v>622454350281</v>
      </c>
      <c r="D95" s="1" t="s">
        <v>200</v>
      </c>
      <c r="E95" t="s">
        <v>201</v>
      </c>
      <c r="F95" s="3">
        <v>250.09574468085108</v>
      </c>
      <c r="G95" s="1" t="s">
        <v>14</v>
      </c>
      <c r="H95" s="2">
        <v>44621</v>
      </c>
      <c r="I95" s="1">
        <v>1.996</v>
      </c>
      <c r="J95" s="1">
        <v>4.4000000000000004</v>
      </c>
      <c r="K95" s="1">
        <v>3</v>
      </c>
      <c r="L95" s="1" t="s">
        <v>15</v>
      </c>
    </row>
    <row r="96" spans="1:12" x14ac:dyDescent="0.25">
      <c r="A96" s="1" t="s">
        <v>468</v>
      </c>
      <c r="B96" s="1" t="str">
        <f>("035032")</f>
        <v>035032</v>
      </c>
      <c r="C96" s="1" t="str">
        <f>("622454350328")</f>
        <v>622454350328</v>
      </c>
      <c r="D96" s="1" t="s">
        <v>202</v>
      </c>
      <c r="E96" t="s">
        <v>203</v>
      </c>
      <c r="F96" s="3">
        <v>3.2553191489361706</v>
      </c>
      <c r="G96" s="1" t="s">
        <v>14</v>
      </c>
      <c r="H96" s="2">
        <v>44621</v>
      </c>
      <c r="I96" s="1">
        <v>8.9999999999999993E-3</v>
      </c>
      <c r="J96" s="1">
        <v>0.02</v>
      </c>
      <c r="K96" s="1">
        <v>50</v>
      </c>
      <c r="L96" s="1" t="s">
        <v>15</v>
      </c>
    </row>
    <row r="97" spans="1:12" x14ac:dyDescent="0.25">
      <c r="A97" s="1" t="s">
        <v>468</v>
      </c>
      <c r="B97" s="1" t="str">
        <f>("035033")</f>
        <v>035033</v>
      </c>
      <c r="C97" s="1" t="str">
        <f>("622454350335")</f>
        <v>622454350335</v>
      </c>
      <c r="D97" s="1" t="s">
        <v>204</v>
      </c>
      <c r="E97" t="s">
        <v>205</v>
      </c>
      <c r="F97" s="3">
        <v>3.6489361702127665</v>
      </c>
      <c r="G97" s="1" t="s">
        <v>14</v>
      </c>
      <c r="H97" s="2">
        <v>44621</v>
      </c>
      <c r="I97" s="1">
        <v>0.14000000000000001</v>
      </c>
      <c r="J97" s="1">
        <v>0.309</v>
      </c>
      <c r="K97" s="1">
        <v>50</v>
      </c>
      <c r="L97" s="1" t="s">
        <v>15</v>
      </c>
    </row>
    <row r="98" spans="1:12" x14ac:dyDescent="0.25">
      <c r="A98" s="1" t="s">
        <v>468</v>
      </c>
      <c r="B98" s="1" t="str">
        <f>("035034")</f>
        <v>035034</v>
      </c>
      <c r="C98" s="1" t="str">
        <f>("622454350342")</f>
        <v>622454350342</v>
      </c>
      <c r="D98" s="1" t="s">
        <v>206</v>
      </c>
      <c r="E98" t="s">
        <v>207</v>
      </c>
      <c r="F98" s="3">
        <v>5.5638297872340434</v>
      </c>
      <c r="G98" s="1" t="s">
        <v>14</v>
      </c>
      <c r="H98" s="2">
        <v>44621</v>
      </c>
      <c r="I98" s="1">
        <v>3.2000000000000001E-2</v>
      </c>
      <c r="J98" s="1">
        <v>7.0999999999999994E-2</v>
      </c>
      <c r="K98" s="1">
        <v>50</v>
      </c>
      <c r="L98" s="1" t="s">
        <v>15</v>
      </c>
    </row>
    <row r="99" spans="1:12" x14ac:dyDescent="0.25">
      <c r="A99" s="1" t="s">
        <v>468</v>
      </c>
      <c r="B99" s="1" t="str">
        <f>("035035")</f>
        <v>035035</v>
      </c>
      <c r="C99" s="1" t="str">
        <f>("622454350359")</f>
        <v>622454350359</v>
      </c>
      <c r="D99" s="1" t="s">
        <v>208</v>
      </c>
      <c r="E99" t="s">
        <v>209</v>
      </c>
      <c r="F99" s="3">
        <v>6.6382978723404262</v>
      </c>
      <c r="G99" s="1" t="s">
        <v>14</v>
      </c>
      <c r="H99" s="2">
        <v>44621</v>
      </c>
      <c r="I99" s="1">
        <v>4.1000000000000002E-2</v>
      </c>
      <c r="J99" s="1">
        <v>0.09</v>
      </c>
      <c r="K99" s="1">
        <v>25</v>
      </c>
      <c r="L99" s="1" t="s">
        <v>15</v>
      </c>
    </row>
    <row r="100" spans="1:12" x14ac:dyDescent="0.25">
      <c r="A100" s="1" t="s">
        <v>468</v>
      </c>
      <c r="B100" s="1" t="str">
        <f>("035036")</f>
        <v>035036</v>
      </c>
      <c r="C100" s="1" t="str">
        <f>("622454350366")</f>
        <v>622454350366</v>
      </c>
      <c r="D100" s="1" t="s">
        <v>210</v>
      </c>
      <c r="E100" t="s">
        <v>211</v>
      </c>
      <c r="F100" s="3">
        <v>6.9787234042553195</v>
      </c>
      <c r="G100" s="1" t="s">
        <v>14</v>
      </c>
      <c r="H100" s="2">
        <v>44621</v>
      </c>
      <c r="I100" s="1">
        <v>0.05</v>
      </c>
      <c r="J100" s="1">
        <v>0.11</v>
      </c>
      <c r="K100" s="1">
        <v>25</v>
      </c>
      <c r="L100" s="1" t="s">
        <v>15</v>
      </c>
    </row>
    <row r="101" spans="1:12" x14ac:dyDescent="0.25">
      <c r="A101" s="1" t="s">
        <v>468</v>
      </c>
      <c r="B101" s="1" t="str">
        <f>("035037")</f>
        <v>035037</v>
      </c>
      <c r="C101" s="1" t="str">
        <f>("622454350373")</f>
        <v>622454350373</v>
      </c>
      <c r="D101" s="1" t="s">
        <v>212</v>
      </c>
      <c r="E101" t="s">
        <v>213</v>
      </c>
      <c r="F101" s="3">
        <v>12.329787234042554</v>
      </c>
      <c r="G101" s="1" t="s">
        <v>14</v>
      </c>
      <c r="H101" s="2">
        <v>44621</v>
      </c>
      <c r="I101" s="1">
        <v>7.6999999999999999E-2</v>
      </c>
      <c r="J101" s="1">
        <v>0.17</v>
      </c>
      <c r="K101" s="1">
        <v>10</v>
      </c>
      <c r="L101" s="1" t="s">
        <v>15</v>
      </c>
    </row>
    <row r="102" spans="1:12" x14ac:dyDescent="0.25">
      <c r="A102" s="1" t="s">
        <v>468</v>
      </c>
      <c r="B102" s="1" t="str">
        <f>("035038")</f>
        <v>035038</v>
      </c>
      <c r="C102" s="1" t="str">
        <f>("622454350380")</f>
        <v>622454350380</v>
      </c>
      <c r="D102" s="1" t="s">
        <v>214</v>
      </c>
      <c r="E102" t="s">
        <v>215</v>
      </c>
      <c r="F102" s="3">
        <v>23.691489361702128</v>
      </c>
      <c r="G102" s="1" t="s">
        <v>14</v>
      </c>
      <c r="H102" s="2">
        <v>44621</v>
      </c>
      <c r="I102" s="1">
        <v>0.245</v>
      </c>
      <c r="J102" s="1">
        <v>0.54</v>
      </c>
      <c r="K102" s="1">
        <v>10</v>
      </c>
      <c r="L102" s="1" t="s">
        <v>15</v>
      </c>
    </row>
    <row r="103" spans="1:12" x14ac:dyDescent="0.25">
      <c r="A103" s="1" t="s">
        <v>468</v>
      </c>
      <c r="B103" s="1" t="str">
        <f>("035039")</f>
        <v>035039</v>
      </c>
      <c r="C103" s="1" t="str">
        <f>("622454350397")</f>
        <v>622454350397</v>
      </c>
      <c r="D103" s="1" t="s">
        <v>216</v>
      </c>
      <c r="E103" t="s">
        <v>217</v>
      </c>
      <c r="F103" s="3">
        <v>41.468085106382979</v>
      </c>
      <c r="G103" s="1" t="s">
        <v>14</v>
      </c>
      <c r="H103" s="2">
        <v>44621</v>
      </c>
      <c r="I103" s="1">
        <v>0.35799999999999998</v>
      </c>
      <c r="J103" s="1">
        <v>0.78900000000000003</v>
      </c>
      <c r="K103" s="1">
        <v>6</v>
      </c>
      <c r="L103" s="1" t="s">
        <v>15</v>
      </c>
    </row>
    <row r="104" spans="1:12" x14ac:dyDescent="0.25">
      <c r="A104" s="1" t="s">
        <v>468</v>
      </c>
      <c r="B104" s="1" t="str">
        <f>("035197")</f>
        <v>035197</v>
      </c>
      <c r="C104" s="1" t="str">
        <f>("622454351974")</f>
        <v>622454351974</v>
      </c>
      <c r="D104" s="1" t="s">
        <v>218</v>
      </c>
      <c r="E104" t="s">
        <v>219</v>
      </c>
      <c r="F104" s="3">
        <v>3.6170212765957448</v>
      </c>
      <c r="G104" s="1" t="s">
        <v>14</v>
      </c>
      <c r="H104" s="2">
        <v>44621</v>
      </c>
      <c r="I104" s="1">
        <v>8.9999999999999993E-3</v>
      </c>
      <c r="J104" s="1">
        <v>0.02</v>
      </c>
      <c r="K104" s="1">
        <v>50</v>
      </c>
      <c r="L104" s="1" t="s">
        <v>15</v>
      </c>
    </row>
    <row r="105" spans="1:12" x14ac:dyDescent="0.25">
      <c r="A105" s="1" t="s">
        <v>468</v>
      </c>
      <c r="B105" s="1" t="str">
        <f>("035198")</f>
        <v>035198</v>
      </c>
      <c r="C105" s="1" t="str">
        <f>("622454351981")</f>
        <v>622454351981</v>
      </c>
      <c r="D105" s="1" t="s">
        <v>220</v>
      </c>
      <c r="E105" t="s">
        <v>221</v>
      </c>
      <c r="F105" s="3">
        <v>4.2978723404255321</v>
      </c>
      <c r="G105" s="1" t="s">
        <v>14</v>
      </c>
      <c r="H105" s="2">
        <v>44621</v>
      </c>
      <c r="I105" s="1">
        <v>1.4E-2</v>
      </c>
      <c r="J105" s="1">
        <v>3.1E-2</v>
      </c>
      <c r="K105" s="1">
        <v>50</v>
      </c>
      <c r="L105" s="1" t="s">
        <v>15</v>
      </c>
    </row>
    <row r="106" spans="1:12" x14ac:dyDescent="0.25">
      <c r="A106" s="1" t="s">
        <v>468</v>
      </c>
      <c r="B106" s="1" t="str">
        <f>("035199")</f>
        <v>035199</v>
      </c>
      <c r="C106" s="1" t="str">
        <f>("622454351998")</f>
        <v>622454351998</v>
      </c>
      <c r="D106" s="1" t="s">
        <v>222</v>
      </c>
      <c r="E106" t="s">
        <v>223</v>
      </c>
      <c r="F106" s="3">
        <v>5.1170212765957448</v>
      </c>
      <c r="G106" s="1" t="s">
        <v>14</v>
      </c>
      <c r="H106" s="2">
        <v>44621</v>
      </c>
      <c r="I106" s="1">
        <v>2.7E-2</v>
      </c>
      <c r="J106" s="1">
        <v>0.06</v>
      </c>
      <c r="K106" s="1">
        <v>50</v>
      </c>
      <c r="L106" s="1" t="s">
        <v>15</v>
      </c>
    </row>
    <row r="107" spans="1:12" x14ac:dyDescent="0.25">
      <c r="A107" s="1" t="s">
        <v>468</v>
      </c>
      <c r="B107" s="1" t="str">
        <f>("035200")</f>
        <v>035200</v>
      </c>
      <c r="C107" s="1" t="str">
        <f>("622454352001")</f>
        <v>622454352001</v>
      </c>
      <c r="D107" s="1" t="s">
        <v>224</v>
      </c>
      <c r="E107" t="s">
        <v>225</v>
      </c>
      <c r="F107" s="3">
        <v>6.9787234042553195</v>
      </c>
      <c r="G107" s="1" t="s">
        <v>14</v>
      </c>
      <c r="H107" s="2">
        <v>44621</v>
      </c>
      <c r="I107" s="1">
        <v>4.1000000000000002E-2</v>
      </c>
      <c r="J107" s="1">
        <v>0.09</v>
      </c>
      <c r="K107" s="1">
        <v>25</v>
      </c>
      <c r="L107" s="1" t="s">
        <v>15</v>
      </c>
    </row>
    <row r="108" spans="1:12" x14ac:dyDescent="0.25">
      <c r="A108" s="1" t="s">
        <v>468</v>
      </c>
      <c r="B108" s="1" t="str">
        <f>("035201")</f>
        <v>035201</v>
      </c>
      <c r="C108" s="1" t="str">
        <f>("622454352018")</f>
        <v>622454352018</v>
      </c>
      <c r="D108" s="1" t="s">
        <v>226</v>
      </c>
      <c r="E108" t="s">
        <v>227</v>
      </c>
      <c r="F108" s="3">
        <v>8.7978723404255312</v>
      </c>
      <c r="G108" s="1" t="s">
        <v>14</v>
      </c>
      <c r="H108" s="2">
        <v>44621</v>
      </c>
      <c r="I108" s="1">
        <v>5.8999999999999997E-2</v>
      </c>
      <c r="J108" s="1">
        <v>0.13</v>
      </c>
      <c r="K108" s="1">
        <v>25</v>
      </c>
      <c r="L108" s="1" t="s">
        <v>15</v>
      </c>
    </row>
    <row r="109" spans="1:12" x14ac:dyDescent="0.25">
      <c r="A109" s="1" t="s">
        <v>468</v>
      </c>
      <c r="B109" s="1" t="str">
        <f>("035202")</f>
        <v>035202</v>
      </c>
      <c r="C109" s="1" t="str">
        <f>("622454352025")</f>
        <v>622454352025</v>
      </c>
      <c r="D109" s="1" t="s">
        <v>228</v>
      </c>
      <c r="E109" t="s">
        <v>229</v>
      </c>
      <c r="F109" s="3">
        <v>10.968085106382979</v>
      </c>
      <c r="G109" s="1" t="s">
        <v>14</v>
      </c>
      <c r="H109" s="2">
        <v>44621</v>
      </c>
      <c r="I109" s="1">
        <v>0.1</v>
      </c>
      <c r="J109" s="1">
        <v>0.22</v>
      </c>
      <c r="K109" s="1">
        <v>10</v>
      </c>
      <c r="L109" s="1" t="s">
        <v>15</v>
      </c>
    </row>
    <row r="110" spans="1:12" x14ac:dyDescent="0.25">
      <c r="A110" s="1" t="s">
        <v>468</v>
      </c>
      <c r="B110" s="1" t="str">
        <f>("035204")</f>
        <v>035204</v>
      </c>
      <c r="C110" s="1" t="str">
        <f>("622454352049")</f>
        <v>622454352049</v>
      </c>
      <c r="D110" s="1" t="s">
        <v>230</v>
      </c>
      <c r="E110" t="s">
        <v>231</v>
      </c>
      <c r="F110" s="3">
        <v>24.787234042553195</v>
      </c>
      <c r="G110" s="1" t="s">
        <v>14</v>
      </c>
      <c r="H110" s="2">
        <v>44621</v>
      </c>
      <c r="I110" s="1">
        <v>0.218</v>
      </c>
      <c r="J110" s="1">
        <v>0.48099999999999998</v>
      </c>
      <c r="K110" s="1">
        <v>10</v>
      </c>
      <c r="L110" s="1" t="s">
        <v>15</v>
      </c>
    </row>
    <row r="111" spans="1:12" x14ac:dyDescent="0.25">
      <c r="A111" s="1" t="s">
        <v>468</v>
      </c>
      <c r="B111" s="1" t="str">
        <f>("035188")</f>
        <v>035188</v>
      </c>
      <c r="C111" s="1" t="str">
        <f>("622454351882")</f>
        <v>622454351882</v>
      </c>
      <c r="D111" s="1" t="s">
        <v>232</v>
      </c>
      <c r="E111" t="s">
        <v>233</v>
      </c>
      <c r="F111" s="3">
        <v>4.5425531914893611</v>
      </c>
      <c r="G111" s="1" t="s">
        <v>14</v>
      </c>
      <c r="H111" s="2">
        <v>44621</v>
      </c>
      <c r="I111" s="1">
        <v>8.9999999999999993E-3</v>
      </c>
      <c r="J111" s="1">
        <v>0.02</v>
      </c>
      <c r="K111" s="1">
        <v>50</v>
      </c>
      <c r="L111" s="1" t="s">
        <v>15</v>
      </c>
    </row>
    <row r="112" spans="1:12" x14ac:dyDescent="0.25">
      <c r="A112" s="1" t="s">
        <v>468</v>
      </c>
      <c r="B112" s="1" t="str">
        <f>("035189")</f>
        <v>035189</v>
      </c>
      <c r="C112" s="1" t="str">
        <f>("622454351899")</f>
        <v>622454351899</v>
      </c>
      <c r="D112" s="1" t="s">
        <v>234</v>
      </c>
      <c r="E112" t="s">
        <v>235</v>
      </c>
      <c r="F112" s="3">
        <v>4.9680851063829792</v>
      </c>
      <c r="G112" s="1" t="s">
        <v>14</v>
      </c>
      <c r="H112" s="2">
        <v>44621</v>
      </c>
      <c r="I112" s="1">
        <v>1.4E-2</v>
      </c>
      <c r="J112" s="1">
        <v>3.1E-2</v>
      </c>
      <c r="K112" s="1">
        <v>50</v>
      </c>
      <c r="L112" s="1" t="s">
        <v>15</v>
      </c>
    </row>
    <row r="113" spans="1:12" x14ac:dyDescent="0.25">
      <c r="A113" s="1" t="s">
        <v>468</v>
      </c>
      <c r="B113" s="1" t="str">
        <f>("035190")</f>
        <v>035190</v>
      </c>
      <c r="C113" s="1" t="str">
        <f>("622454351905")</f>
        <v>622454351905</v>
      </c>
      <c r="D113" s="1" t="s">
        <v>236</v>
      </c>
      <c r="E113" t="s">
        <v>237</v>
      </c>
      <c r="F113" s="3">
        <v>8.0319148936170208</v>
      </c>
      <c r="G113" s="1" t="s">
        <v>14</v>
      </c>
      <c r="H113" s="2">
        <v>44621</v>
      </c>
      <c r="I113" s="1">
        <v>2.3E-2</v>
      </c>
      <c r="J113" s="1">
        <v>5.0999999999999997E-2</v>
      </c>
      <c r="K113" s="1">
        <v>50</v>
      </c>
      <c r="L113" s="1" t="s">
        <v>15</v>
      </c>
    </row>
    <row r="114" spans="1:12" x14ac:dyDescent="0.25">
      <c r="A114" s="1" t="s">
        <v>468</v>
      </c>
      <c r="B114" s="1" t="str">
        <f>("035191")</f>
        <v>035191</v>
      </c>
      <c r="C114" s="1" t="str">
        <f>("622454351912")</f>
        <v>622454351912</v>
      </c>
      <c r="D114" s="1" t="s">
        <v>238</v>
      </c>
      <c r="E114" t="s">
        <v>239</v>
      </c>
      <c r="F114" s="3">
        <v>8.4042553191489375</v>
      </c>
      <c r="G114" s="1" t="s">
        <v>14</v>
      </c>
      <c r="H114" s="2">
        <v>44621</v>
      </c>
      <c r="I114" s="1">
        <v>3.5999999999999997E-2</v>
      </c>
      <c r="J114" s="1">
        <v>7.9000000000000001E-2</v>
      </c>
      <c r="K114" s="1">
        <v>25</v>
      </c>
      <c r="L114" s="1" t="s">
        <v>15</v>
      </c>
    </row>
    <row r="115" spans="1:12" x14ac:dyDescent="0.25">
      <c r="A115" s="1" t="s">
        <v>468</v>
      </c>
      <c r="B115" s="1" t="str">
        <f>("035192")</f>
        <v>035192</v>
      </c>
      <c r="C115" s="1" t="str">
        <f>("622454351929")</f>
        <v>622454351929</v>
      </c>
      <c r="D115" s="1" t="s">
        <v>240</v>
      </c>
      <c r="E115" t="s">
        <v>241</v>
      </c>
      <c r="F115" s="3">
        <v>9.0957446808510642</v>
      </c>
      <c r="G115" s="1" t="s">
        <v>14</v>
      </c>
      <c r="H115" s="2">
        <v>44621</v>
      </c>
      <c r="I115" s="1">
        <v>0.05</v>
      </c>
      <c r="J115" s="1">
        <v>0.11</v>
      </c>
      <c r="K115" s="1">
        <v>25</v>
      </c>
      <c r="L115" s="1" t="s">
        <v>15</v>
      </c>
    </row>
    <row r="116" spans="1:12" x14ac:dyDescent="0.25">
      <c r="A116" s="1" t="s">
        <v>468</v>
      </c>
      <c r="B116" s="1" t="str">
        <f>("035193")</f>
        <v>035193</v>
      </c>
      <c r="C116" s="1" t="str">
        <f>("622454351936")</f>
        <v>622454351936</v>
      </c>
      <c r="D116" s="1" t="s">
        <v>242</v>
      </c>
      <c r="E116" t="s">
        <v>243</v>
      </c>
      <c r="F116" s="3">
        <v>11.638297872340425</v>
      </c>
      <c r="G116" s="1" t="s">
        <v>14</v>
      </c>
      <c r="H116" s="2">
        <v>44621</v>
      </c>
      <c r="I116" s="1">
        <v>8.2000000000000003E-2</v>
      </c>
      <c r="J116" s="1">
        <v>0.18099999999999999</v>
      </c>
      <c r="K116" s="1">
        <v>10</v>
      </c>
      <c r="L116" s="1" t="s">
        <v>15</v>
      </c>
    </row>
    <row r="117" spans="1:12" x14ac:dyDescent="0.25">
      <c r="A117" s="1" t="s">
        <v>468</v>
      </c>
      <c r="B117" s="1" t="str">
        <f>("035194")</f>
        <v>035194</v>
      </c>
      <c r="C117" s="1" t="str">
        <f>("622454351943")</f>
        <v>622454351943</v>
      </c>
      <c r="D117" s="1" t="s">
        <v>244</v>
      </c>
      <c r="E117" t="s">
        <v>245</v>
      </c>
      <c r="F117" s="3">
        <v>16.148936170212767</v>
      </c>
      <c r="G117" s="1" t="s">
        <v>14</v>
      </c>
      <c r="H117" s="2">
        <v>44621</v>
      </c>
      <c r="I117" s="1">
        <v>0.14099999999999999</v>
      </c>
      <c r="J117" s="1">
        <v>0.311</v>
      </c>
      <c r="K117" s="1">
        <v>10</v>
      </c>
      <c r="L117" s="1" t="s">
        <v>15</v>
      </c>
    </row>
    <row r="118" spans="1:12" x14ac:dyDescent="0.25">
      <c r="A118" s="1" t="s">
        <v>468</v>
      </c>
      <c r="B118" s="1" t="str">
        <f>("035195")</f>
        <v>035195</v>
      </c>
      <c r="C118" s="1" t="str">
        <f>("622454351950")</f>
        <v>622454351950</v>
      </c>
      <c r="D118" s="1" t="s">
        <v>246</v>
      </c>
      <c r="E118" t="s">
        <v>247</v>
      </c>
      <c r="F118" s="3">
        <v>24.521276595744684</v>
      </c>
      <c r="G118" s="1" t="s">
        <v>14</v>
      </c>
      <c r="H118" s="2">
        <v>44621</v>
      </c>
      <c r="I118" s="1">
        <v>0.20399999999999999</v>
      </c>
      <c r="J118" s="1">
        <v>0.45</v>
      </c>
      <c r="K118" s="1">
        <v>10</v>
      </c>
      <c r="L118" s="1" t="s">
        <v>15</v>
      </c>
    </row>
    <row r="119" spans="1:12" x14ac:dyDescent="0.25">
      <c r="A119" s="1" t="s">
        <v>468</v>
      </c>
      <c r="B119" s="1" t="str">
        <f>("035196")</f>
        <v>035196</v>
      </c>
      <c r="C119" s="1" t="str">
        <f>("622454351967")</f>
        <v>622454351967</v>
      </c>
      <c r="D119" s="1" t="s">
        <v>248</v>
      </c>
      <c r="E119" t="s">
        <v>249</v>
      </c>
      <c r="F119" s="3">
        <v>55.319148936170215</v>
      </c>
      <c r="G119" s="1" t="s">
        <v>14</v>
      </c>
      <c r="H119" s="2">
        <v>44621</v>
      </c>
      <c r="I119" s="1">
        <v>0.32700000000000001</v>
      </c>
      <c r="J119" s="1">
        <v>0.72099999999999997</v>
      </c>
      <c r="K119" s="1">
        <v>6</v>
      </c>
      <c r="L119" s="1" t="s">
        <v>15</v>
      </c>
    </row>
    <row r="120" spans="1:12" x14ac:dyDescent="0.25">
      <c r="A120" s="1" t="s">
        <v>468</v>
      </c>
      <c r="B120" s="1" t="str">
        <f>("035052")</f>
        <v>035052</v>
      </c>
      <c r="C120" s="1" t="str">
        <f>("622454350526")</f>
        <v>622454350526</v>
      </c>
      <c r="D120" s="1" t="s">
        <v>250</v>
      </c>
      <c r="E120" t="s">
        <v>251</v>
      </c>
      <c r="F120" s="3">
        <v>1.1595744680851066</v>
      </c>
      <c r="G120" s="1" t="s">
        <v>14</v>
      </c>
      <c r="H120" s="2">
        <v>44621</v>
      </c>
      <c r="I120" s="1">
        <v>0.02</v>
      </c>
      <c r="J120" s="1">
        <v>4.3999999999999997E-2</v>
      </c>
      <c r="K120" s="1">
        <v>75</v>
      </c>
      <c r="L120" s="1" t="s">
        <v>15</v>
      </c>
    </row>
    <row r="121" spans="1:12" x14ac:dyDescent="0.25">
      <c r="A121" s="1" t="s">
        <v>468</v>
      </c>
      <c r="B121" s="1" t="str">
        <f>("035053")</f>
        <v>035053</v>
      </c>
      <c r="C121" s="1" t="str">
        <f>("622454350533")</f>
        <v>622454350533</v>
      </c>
      <c r="D121" s="1" t="s">
        <v>252</v>
      </c>
      <c r="E121" t="s">
        <v>253</v>
      </c>
      <c r="F121" s="3">
        <v>1.5851063829787235</v>
      </c>
      <c r="G121" s="1" t="s">
        <v>14</v>
      </c>
      <c r="H121" s="2">
        <v>44621</v>
      </c>
      <c r="I121" s="1">
        <v>2.5999999999999999E-2</v>
      </c>
      <c r="J121" s="1">
        <v>5.7000000000000002E-2</v>
      </c>
      <c r="K121" s="1">
        <v>100</v>
      </c>
      <c r="L121" s="1" t="s">
        <v>15</v>
      </c>
    </row>
    <row r="122" spans="1:12" x14ac:dyDescent="0.25">
      <c r="A122" s="1" t="s">
        <v>468</v>
      </c>
      <c r="B122" s="1" t="str">
        <f>("035054")</f>
        <v>035054</v>
      </c>
      <c r="C122" s="1" t="str">
        <f>("622454350540")</f>
        <v>622454350540</v>
      </c>
      <c r="D122" s="1" t="s">
        <v>254</v>
      </c>
      <c r="E122" t="s">
        <v>255</v>
      </c>
      <c r="F122" s="3">
        <v>2.7021276595744683</v>
      </c>
      <c r="G122" s="1" t="s">
        <v>14</v>
      </c>
      <c r="H122" s="2">
        <v>44621</v>
      </c>
      <c r="I122" s="1">
        <v>0.04</v>
      </c>
      <c r="J122" s="1">
        <v>8.7999999999999995E-2</v>
      </c>
      <c r="K122" s="1">
        <v>60</v>
      </c>
      <c r="L122" s="1" t="s">
        <v>15</v>
      </c>
    </row>
    <row r="123" spans="1:12" x14ac:dyDescent="0.25">
      <c r="A123" s="1" t="s">
        <v>468</v>
      </c>
      <c r="B123" s="1" t="str">
        <f>("035055")</f>
        <v>035055</v>
      </c>
      <c r="C123" s="1" t="str">
        <f>("622454350557")</f>
        <v>622454350557</v>
      </c>
      <c r="D123" s="1" t="s">
        <v>256</v>
      </c>
      <c r="E123" t="s">
        <v>257</v>
      </c>
      <c r="F123" s="3">
        <v>3.6382978723404258</v>
      </c>
      <c r="G123" s="1" t="s">
        <v>14</v>
      </c>
      <c r="H123" s="2">
        <v>44621</v>
      </c>
      <c r="I123" s="1">
        <v>5.8999999999999997E-2</v>
      </c>
      <c r="J123" s="1">
        <v>0.13</v>
      </c>
      <c r="K123" s="1">
        <v>25</v>
      </c>
      <c r="L123" s="1" t="s">
        <v>15</v>
      </c>
    </row>
    <row r="124" spans="1:12" x14ac:dyDescent="0.25">
      <c r="A124" s="1" t="s">
        <v>468</v>
      </c>
      <c r="B124" s="1" t="str">
        <f>("035056")</f>
        <v>035056</v>
      </c>
      <c r="C124" s="1" t="str">
        <f>("622454350564")</f>
        <v>622454350564</v>
      </c>
      <c r="D124" s="1" t="s">
        <v>258</v>
      </c>
      <c r="E124" t="s">
        <v>259</v>
      </c>
      <c r="F124" s="3">
        <v>3.9468085106382982</v>
      </c>
      <c r="G124" s="1" t="s">
        <v>14</v>
      </c>
      <c r="H124" s="2">
        <v>44621</v>
      </c>
      <c r="I124" s="1">
        <v>8.1000000000000003E-2</v>
      </c>
      <c r="J124" s="1">
        <v>0.17899999999999999</v>
      </c>
      <c r="K124" s="1">
        <v>25</v>
      </c>
      <c r="L124" s="1" t="s">
        <v>15</v>
      </c>
    </row>
    <row r="125" spans="1:12" x14ac:dyDescent="0.25">
      <c r="A125" s="1" t="s">
        <v>468</v>
      </c>
      <c r="B125" s="1" t="str">
        <f>("035057")</f>
        <v>035057</v>
      </c>
      <c r="C125" s="1" t="str">
        <f>("622454350571")</f>
        <v>622454350571</v>
      </c>
      <c r="D125" s="1" t="s">
        <v>260</v>
      </c>
      <c r="E125" t="s">
        <v>261</v>
      </c>
      <c r="F125" s="3">
        <v>6.1914893617021285</v>
      </c>
      <c r="G125" s="1" t="s">
        <v>14</v>
      </c>
      <c r="H125" s="2">
        <v>44621</v>
      </c>
      <c r="I125" s="1">
        <v>8.2000000000000003E-2</v>
      </c>
      <c r="J125" s="1">
        <v>0.18099999999999999</v>
      </c>
      <c r="K125" s="1">
        <v>15</v>
      </c>
      <c r="L125" s="1" t="s">
        <v>15</v>
      </c>
    </row>
    <row r="126" spans="1:12" x14ac:dyDescent="0.25">
      <c r="A126" s="1" t="s">
        <v>468</v>
      </c>
      <c r="B126" s="1" t="str">
        <f>("035058")</f>
        <v>035058</v>
      </c>
      <c r="C126" s="1" t="str">
        <f>("622454350588")</f>
        <v>622454350588</v>
      </c>
      <c r="D126" s="1" t="s">
        <v>262</v>
      </c>
      <c r="E126" t="s">
        <v>263</v>
      </c>
      <c r="F126" s="3">
        <v>13.297872340425533</v>
      </c>
      <c r="G126" s="1" t="s">
        <v>14</v>
      </c>
      <c r="H126" s="2">
        <v>44621</v>
      </c>
      <c r="I126" s="1">
        <v>0.216</v>
      </c>
      <c r="J126" s="1">
        <v>0.47599999999999998</v>
      </c>
      <c r="K126" s="1">
        <v>10</v>
      </c>
      <c r="L126" s="1" t="s">
        <v>15</v>
      </c>
    </row>
    <row r="127" spans="1:12" x14ac:dyDescent="0.25">
      <c r="A127" s="1" t="s">
        <v>468</v>
      </c>
      <c r="B127" s="1" t="str">
        <f>("035059")</f>
        <v>035059</v>
      </c>
      <c r="C127" s="1" t="str">
        <f>("622454350595")</f>
        <v>622454350595</v>
      </c>
      <c r="D127" s="1" t="s">
        <v>264</v>
      </c>
      <c r="E127" t="s">
        <v>265</v>
      </c>
      <c r="F127" s="3">
        <v>20.914893617021278</v>
      </c>
      <c r="G127" s="1" t="s">
        <v>14</v>
      </c>
      <c r="H127" s="2">
        <v>44621</v>
      </c>
      <c r="I127" s="1">
        <v>0.28199999999999997</v>
      </c>
      <c r="J127" s="1">
        <v>0.622</v>
      </c>
      <c r="K127" s="1">
        <v>10</v>
      </c>
      <c r="L127" s="1" t="s">
        <v>15</v>
      </c>
    </row>
    <row r="128" spans="1:12" x14ac:dyDescent="0.25">
      <c r="A128" s="1" t="s">
        <v>468</v>
      </c>
      <c r="B128" s="1" t="str">
        <f>("035060")</f>
        <v>035060</v>
      </c>
      <c r="C128" s="1" t="str">
        <f>("622454350601")</f>
        <v>622454350601</v>
      </c>
      <c r="D128" s="1" t="s">
        <v>266</v>
      </c>
      <c r="E128" t="s">
        <v>267</v>
      </c>
      <c r="F128" s="3">
        <v>30.212765957446809</v>
      </c>
      <c r="G128" s="1" t="s">
        <v>14</v>
      </c>
      <c r="H128" s="2">
        <v>44621</v>
      </c>
      <c r="I128" s="1">
        <v>0.49399999999999999</v>
      </c>
      <c r="J128" s="1">
        <v>1.089</v>
      </c>
      <c r="K128" s="1">
        <v>5</v>
      </c>
      <c r="L128" s="1" t="s">
        <v>15</v>
      </c>
    </row>
    <row r="129" spans="1:12" x14ac:dyDescent="0.25">
      <c r="A129" s="1" t="s">
        <v>468</v>
      </c>
      <c r="B129" s="1" t="str">
        <f>("035061")</f>
        <v>035061</v>
      </c>
      <c r="C129" s="1" t="str">
        <f>("622454350618")</f>
        <v>622454350618</v>
      </c>
      <c r="D129" s="1" t="s">
        <v>268</v>
      </c>
      <c r="E129" t="s">
        <v>269</v>
      </c>
      <c r="F129" s="3">
        <v>55.329787234042556</v>
      </c>
      <c r="G129" s="1" t="s">
        <v>14</v>
      </c>
      <c r="H129" s="2">
        <v>44621</v>
      </c>
      <c r="I129" s="1">
        <v>0.74</v>
      </c>
      <c r="J129" s="1">
        <v>1.631</v>
      </c>
      <c r="K129" s="1">
        <v>5</v>
      </c>
      <c r="L129" s="1" t="s">
        <v>15</v>
      </c>
    </row>
    <row r="130" spans="1:12" x14ac:dyDescent="0.25">
      <c r="A130" s="1" t="s">
        <v>468</v>
      </c>
      <c r="B130" s="1" t="str">
        <f>("035062")</f>
        <v>035062</v>
      </c>
      <c r="C130" s="1" t="str">
        <f>("622454350625")</f>
        <v>622454350625</v>
      </c>
      <c r="D130" s="1" t="s">
        <v>270</v>
      </c>
      <c r="E130" t="s">
        <v>271</v>
      </c>
      <c r="F130" s="3">
        <v>95.680851063829792</v>
      </c>
      <c r="G130" s="1" t="s">
        <v>14</v>
      </c>
      <c r="H130" s="2">
        <v>44621</v>
      </c>
      <c r="I130" s="1">
        <v>0.98</v>
      </c>
      <c r="J130" s="1">
        <v>2.161</v>
      </c>
      <c r="K130" s="1">
        <v>10</v>
      </c>
      <c r="L130" s="1" t="s">
        <v>15</v>
      </c>
    </row>
    <row r="131" spans="1:12" x14ac:dyDescent="0.25">
      <c r="A131" s="1" t="s">
        <v>468</v>
      </c>
      <c r="B131" s="1" t="str">
        <f>("035063")</f>
        <v>035063</v>
      </c>
      <c r="C131" s="1" t="str">
        <f>("622454350632")</f>
        <v>622454350632</v>
      </c>
      <c r="D131" s="1" t="s">
        <v>272</v>
      </c>
      <c r="E131" t="s">
        <v>273</v>
      </c>
      <c r="F131" s="3">
        <v>178.56382978723406</v>
      </c>
      <c r="G131" s="1" t="s">
        <v>14</v>
      </c>
      <c r="H131" s="2">
        <v>44621</v>
      </c>
      <c r="I131" s="1">
        <v>2.0329999999999999</v>
      </c>
      <c r="J131" s="1">
        <v>4.4820000000000002</v>
      </c>
      <c r="K131" s="1">
        <v>2</v>
      </c>
      <c r="L131" s="1" t="s">
        <v>15</v>
      </c>
    </row>
    <row r="132" spans="1:12" x14ac:dyDescent="0.25">
      <c r="A132" s="1" t="s">
        <v>468</v>
      </c>
      <c r="B132" s="1" t="str">
        <f>("035167")</f>
        <v>035167</v>
      </c>
      <c r="C132" s="1" t="str">
        <f>("622454351677")</f>
        <v>622454351677</v>
      </c>
      <c r="D132" s="1" t="s">
        <v>274</v>
      </c>
      <c r="E132" t="s">
        <v>275</v>
      </c>
      <c r="F132" s="3">
        <v>1.4787234042553192</v>
      </c>
      <c r="G132" s="1" t="s">
        <v>14</v>
      </c>
      <c r="H132" s="2">
        <v>44621</v>
      </c>
      <c r="I132" s="1">
        <v>0.02</v>
      </c>
      <c r="J132" s="1">
        <v>4.3999999999999997E-2</v>
      </c>
      <c r="K132" s="1">
        <v>100</v>
      </c>
      <c r="L132" s="1" t="s">
        <v>15</v>
      </c>
    </row>
    <row r="133" spans="1:12" x14ac:dyDescent="0.25">
      <c r="A133" s="1" t="s">
        <v>468</v>
      </c>
      <c r="B133" s="1" t="str">
        <f>("035168")</f>
        <v>035168</v>
      </c>
      <c r="C133" s="1" t="str">
        <f>("622454351684")</f>
        <v>622454351684</v>
      </c>
      <c r="D133" s="1" t="s">
        <v>276</v>
      </c>
      <c r="E133" t="s">
        <v>277</v>
      </c>
      <c r="F133" s="3">
        <v>1.7234042553191491</v>
      </c>
      <c r="G133" s="1" t="s">
        <v>14</v>
      </c>
      <c r="H133" s="2">
        <v>44621</v>
      </c>
      <c r="I133" s="1">
        <v>2.5000000000000001E-2</v>
      </c>
      <c r="J133" s="1">
        <v>5.5E-2</v>
      </c>
      <c r="K133" s="1">
        <v>60</v>
      </c>
      <c r="L133" s="1" t="s">
        <v>15</v>
      </c>
    </row>
    <row r="134" spans="1:12" x14ac:dyDescent="0.25">
      <c r="A134" s="1" t="s">
        <v>468</v>
      </c>
      <c r="B134" s="1" t="str">
        <f>("035169")</f>
        <v>035169</v>
      </c>
      <c r="C134" s="1" t="str">
        <f>("622454351691")</f>
        <v>622454351691</v>
      </c>
      <c r="D134" s="1" t="s">
        <v>278</v>
      </c>
      <c r="E134" t="s">
        <v>279</v>
      </c>
      <c r="F134" s="3">
        <v>3.0106382978723407</v>
      </c>
      <c r="G134" s="1" t="s">
        <v>14</v>
      </c>
      <c r="H134" s="2">
        <v>44621</v>
      </c>
      <c r="I134" s="1">
        <v>3.7999999999999999E-2</v>
      </c>
      <c r="J134" s="1">
        <v>8.4000000000000005E-2</v>
      </c>
      <c r="K134" s="1">
        <v>50</v>
      </c>
      <c r="L134" s="1" t="s">
        <v>15</v>
      </c>
    </row>
    <row r="135" spans="1:12" x14ac:dyDescent="0.25">
      <c r="A135" s="1" t="s">
        <v>468</v>
      </c>
      <c r="B135" s="1" t="str">
        <f>("035170")</f>
        <v>035170</v>
      </c>
      <c r="C135" s="1" t="str">
        <f>("622454351707")</f>
        <v>622454351707</v>
      </c>
      <c r="D135" s="1" t="s">
        <v>280</v>
      </c>
      <c r="E135" t="s">
        <v>281</v>
      </c>
      <c r="F135" s="3">
        <v>3.6170212765957448</v>
      </c>
      <c r="G135" s="1" t="s">
        <v>14</v>
      </c>
      <c r="H135" s="2">
        <v>44621</v>
      </c>
      <c r="I135" s="1">
        <v>5.1999999999999998E-2</v>
      </c>
      <c r="J135" s="1">
        <v>0.115</v>
      </c>
      <c r="K135" s="1">
        <v>25</v>
      </c>
      <c r="L135" s="1" t="s">
        <v>15</v>
      </c>
    </row>
    <row r="136" spans="1:12" x14ac:dyDescent="0.25">
      <c r="A136" s="1" t="s">
        <v>468</v>
      </c>
      <c r="B136" s="1" t="str">
        <f>("035171")</f>
        <v>035171</v>
      </c>
      <c r="C136" s="1" t="str">
        <f>("622454351714")</f>
        <v>622454351714</v>
      </c>
      <c r="D136" s="1" t="s">
        <v>282</v>
      </c>
      <c r="E136" t="s">
        <v>283</v>
      </c>
      <c r="F136" s="3">
        <v>5.0106382978723403</v>
      </c>
      <c r="G136" s="1" t="s">
        <v>14</v>
      </c>
      <c r="H136" s="2">
        <v>44621</v>
      </c>
      <c r="I136" s="1">
        <v>7.0000000000000007E-2</v>
      </c>
      <c r="J136" s="1">
        <v>0.154</v>
      </c>
      <c r="K136" s="1">
        <v>25</v>
      </c>
      <c r="L136" s="1" t="s">
        <v>15</v>
      </c>
    </row>
    <row r="137" spans="1:12" x14ac:dyDescent="0.25">
      <c r="A137" s="1" t="s">
        <v>468</v>
      </c>
      <c r="B137" s="1" t="str">
        <f>("035172")</f>
        <v>035172</v>
      </c>
      <c r="C137" s="1" t="str">
        <f>("622454351721")</f>
        <v>622454351721</v>
      </c>
      <c r="D137" s="1" t="s">
        <v>284</v>
      </c>
      <c r="E137" t="s">
        <v>285</v>
      </c>
      <c r="F137" s="3">
        <v>6.4680851063829792</v>
      </c>
      <c r="G137" s="1" t="s">
        <v>14</v>
      </c>
      <c r="H137" s="2">
        <v>44621</v>
      </c>
      <c r="I137" s="1">
        <v>0.124</v>
      </c>
      <c r="J137" s="1">
        <v>0.27300000000000002</v>
      </c>
      <c r="K137" s="1">
        <v>25</v>
      </c>
      <c r="L137" s="1" t="s">
        <v>15</v>
      </c>
    </row>
    <row r="138" spans="1:12" x14ac:dyDescent="0.25">
      <c r="A138" s="1" t="s">
        <v>468</v>
      </c>
      <c r="B138" s="1" t="str">
        <f>("035173")</f>
        <v>035173</v>
      </c>
      <c r="C138" s="1" t="str">
        <f>("622454351738")</f>
        <v>622454351738</v>
      </c>
      <c r="D138" s="1" t="s">
        <v>286</v>
      </c>
      <c r="E138" t="s">
        <v>287</v>
      </c>
      <c r="F138" s="3">
        <v>19.127659574468087</v>
      </c>
      <c r="G138" s="1" t="s">
        <v>14</v>
      </c>
      <c r="H138" s="2">
        <v>44621</v>
      </c>
      <c r="I138" s="1">
        <v>0.26400000000000001</v>
      </c>
      <c r="J138" s="1">
        <v>0.58199999999999996</v>
      </c>
      <c r="K138" s="1">
        <v>10</v>
      </c>
      <c r="L138" s="1" t="s">
        <v>15</v>
      </c>
    </row>
    <row r="139" spans="1:12" x14ac:dyDescent="0.25">
      <c r="A139" s="1" t="s">
        <v>468</v>
      </c>
      <c r="B139" s="1" t="str">
        <f>("035174")</f>
        <v>035174</v>
      </c>
      <c r="C139" s="1" t="str">
        <f>("622454351745")</f>
        <v>622454351745</v>
      </c>
      <c r="D139" s="1" t="s">
        <v>288</v>
      </c>
      <c r="E139" t="s">
        <v>289</v>
      </c>
      <c r="F139" s="3">
        <v>28.074468085106385</v>
      </c>
      <c r="G139" s="1" t="s">
        <v>14</v>
      </c>
      <c r="H139" s="2">
        <v>44621</v>
      </c>
      <c r="I139" s="1">
        <v>0.29399999999999998</v>
      </c>
      <c r="J139" s="1">
        <v>0.64800000000000002</v>
      </c>
      <c r="K139" s="1">
        <v>10</v>
      </c>
      <c r="L139" s="1" t="s">
        <v>15</v>
      </c>
    </row>
    <row r="140" spans="1:12" x14ac:dyDescent="0.25">
      <c r="A140" s="1" t="s">
        <v>468</v>
      </c>
      <c r="B140" s="1" t="str">
        <f>("035175")</f>
        <v>035175</v>
      </c>
      <c r="C140" s="1" t="str">
        <f>("622454351752")</f>
        <v>622454351752</v>
      </c>
      <c r="D140" s="1" t="s">
        <v>290</v>
      </c>
      <c r="E140" t="s">
        <v>291</v>
      </c>
      <c r="F140" s="3">
        <v>35.723404255319146</v>
      </c>
      <c r="G140" s="1" t="s">
        <v>14</v>
      </c>
      <c r="H140" s="2">
        <v>44621</v>
      </c>
      <c r="I140" s="1">
        <v>0.47</v>
      </c>
      <c r="J140" s="1">
        <v>1.036</v>
      </c>
      <c r="K140" s="1">
        <v>10</v>
      </c>
      <c r="L140" s="1" t="s">
        <v>15</v>
      </c>
    </row>
    <row r="141" spans="1:12" x14ac:dyDescent="0.25">
      <c r="A141" s="1" t="s">
        <v>468</v>
      </c>
      <c r="B141" s="1" t="str">
        <f>("035176")</f>
        <v>035176</v>
      </c>
      <c r="C141" s="1" t="str">
        <f>("622454351769")</f>
        <v>622454351769</v>
      </c>
      <c r="D141" s="1" t="s">
        <v>292</v>
      </c>
      <c r="E141" t="s">
        <v>293</v>
      </c>
      <c r="F141" s="3">
        <v>58.872340425531924</v>
      </c>
      <c r="G141" s="1" t="s">
        <v>14</v>
      </c>
      <c r="H141" s="2">
        <v>44621</v>
      </c>
      <c r="I141" s="1">
        <v>0.63500000000000001</v>
      </c>
      <c r="J141" s="1">
        <v>1.4</v>
      </c>
      <c r="K141" s="1">
        <v>5</v>
      </c>
      <c r="L141" s="1" t="s">
        <v>15</v>
      </c>
    </row>
    <row r="142" spans="1:12" x14ac:dyDescent="0.25">
      <c r="A142" s="1" t="s">
        <v>468</v>
      </c>
      <c r="B142" s="1" t="str">
        <f>("035177")</f>
        <v>035177</v>
      </c>
      <c r="C142" s="1" t="str">
        <f>("622454351776")</f>
        <v>622454351776</v>
      </c>
      <c r="D142" s="1" t="s">
        <v>294</v>
      </c>
      <c r="E142" t="s">
        <v>295</v>
      </c>
      <c r="F142" s="3">
        <v>93.265957446808514</v>
      </c>
      <c r="G142" s="1" t="s">
        <v>14</v>
      </c>
      <c r="H142" s="2">
        <v>44621</v>
      </c>
      <c r="I142" s="1">
        <v>0.95299999999999996</v>
      </c>
      <c r="J142" s="1">
        <v>2.101</v>
      </c>
      <c r="K142" s="1">
        <v>7</v>
      </c>
      <c r="L142" s="1" t="s">
        <v>15</v>
      </c>
    </row>
    <row r="143" spans="1:12" x14ac:dyDescent="0.25">
      <c r="A143" s="1" t="s">
        <v>468</v>
      </c>
      <c r="B143" s="1" t="str">
        <f>("035136")</f>
        <v>035136</v>
      </c>
      <c r="C143" s="1" t="str">
        <f>("622454351363")</f>
        <v>622454351363</v>
      </c>
      <c r="D143" s="1" t="s">
        <v>296</v>
      </c>
      <c r="E143" t="s">
        <v>297</v>
      </c>
      <c r="F143" s="3">
        <v>1.8829787234042554</v>
      </c>
      <c r="G143" s="1" t="s">
        <v>14</v>
      </c>
      <c r="H143" s="2">
        <v>44621</v>
      </c>
      <c r="I143" s="1">
        <v>0.02</v>
      </c>
      <c r="J143" s="1">
        <v>4.3999999999999997E-2</v>
      </c>
      <c r="K143" s="1">
        <v>75</v>
      </c>
      <c r="L143" s="1" t="s">
        <v>15</v>
      </c>
    </row>
    <row r="144" spans="1:12" x14ac:dyDescent="0.25">
      <c r="A144" s="1" t="s">
        <v>468</v>
      </c>
      <c r="B144" s="1" t="str">
        <f>("035137")</f>
        <v>035137</v>
      </c>
      <c r="C144" s="1" t="str">
        <f>("622454351370")</f>
        <v>622454351370</v>
      </c>
      <c r="D144" s="1" t="s">
        <v>298</v>
      </c>
      <c r="E144" t="s">
        <v>299</v>
      </c>
      <c r="F144" s="3">
        <v>2.4148936170212769</v>
      </c>
      <c r="G144" s="1" t="s">
        <v>14</v>
      </c>
      <c r="H144" s="2">
        <v>44621</v>
      </c>
      <c r="I144" s="1">
        <v>3.2000000000000001E-2</v>
      </c>
      <c r="J144" s="1">
        <v>7.0999999999999994E-2</v>
      </c>
      <c r="K144" s="1">
        <v>60</v>
      </c>
      <c r="L144" s="1" t="s">
        <v>15</v>
      </c>
    </row>
    <row r="145" spans="1:12" x14ac:dyDescent="0.25">
      <c r="A145" s="1" t="s">
        <v>468</v>
      </c>
      <c r="B145" s="1" t="str">
        <f>("035138")</f>
        <v>035138</v>
      </c>
      <c r="C145" s="1" t="str">
        <f>("622454351387")</f>
        <v>622454351387</v>
      </c>
      <c r="D145" s="1" t="s">
        <v>300</v>
      </c>
      <c r="E145" t="s">
        <v>301</v>
      </c>
      <c r="F145" s="3">
        <v>2.8191489361702127</v>
      </c>
      <c r="G145" s="1" t="s">
        <v>14</v>
      </c>
      <c r="H145" s="2">
        <v>44621</v>
      </c>
      <c r="I145" s="1">
        <v>4.7E-2</v>
      </c>
      <c r="J145" s="1">
        <v>0.104</v>
      </c>
      <c r="K145" s="1">
        <v>40</v>
      </c>
      <c r="L145" s="1" t="s">
        <v>15</v>
      </c>
    </row>
    <row r="146" spans="1:12" x14ac:dyDescent="0.25">
      <c r="A146" s="1" t="s">
        <v>468</v>
      </c>
      <c r="B146" s="1" t="str">
        <f>("035139")</f>
        <v>035139</v>
      </c>
      <c r="C146" s="1" t="str">
        <f>("622454351394")</f>
        <v>622454351394</v>
      </c>
      <c r="D146" s="1" t="s">
        <v>302</v>
      </c>
      <c r="E146" t="s">
        <v>303</v>
      </c>
      <c r="F146" s="3">
        <v>4.2978723404255321</v>
      </c>
      <c r="G146" s="1" t="s">
        <v>14</v>
      </c>
      <c r="H146" s="2">
        <v>44621</v>
      </c>
      <c r="I146" s="1">
        <v>6.0999999999999999E-2</v>
      </c>
      <c r="J146" s="1">
        <v>0.13400000000000001</v>
      </c>
      <c r="K146" s="1">
        <v>25</v>
      </c>
      <c r="L146" s="1" t="s">
        <v>15</v>
      </c>
    </row>
    <row r="147" spans="1:12" x14ac:dyDescent="0.25">
      <c r="A147" s="1" t="s">
        <v>468</v>
      </c>
      <c r="B147" s="1" t="str">
        <f>("035140")</f>
        <v>035140</v>
      </c>
      <c r="C147" s="1" t="str">
        <f>("622454351400")</f>
        <v>622454351400</v>
      </c>
      <c r="D147" s="1" t="s">
        <v>304</v>
      </c>
      <c r="E147" t="s">
        <v>305</v>
      </c>
      <c r="F147" s="3">
        <v>5.0106382978723403</v>
      </c>
      <c r="G147" s="1" t="s">
        <v>14</v>
      </c>
      <c r="H147" s="2">
        <v>44621</v>
      </c>
      <c r="I147" s="1">
        <v>6.8000000000000005E-2</v>
      </c>
      <c r="J147" s="1">
        <v>0.15</v>
      </c>
      <c r="K147" s="1">
        <v>25</v>
      </c>
      <c r="L147" s="1" t="s">
        <v>15</v>
      </c>
    </row>
    <row r="148" spans="1:12" x14ac:dyDescent="0.25">
      <c r="A148" s="1" t="s">
        <v>468</v>
      </c>
      <c r="B148" s="1" t="str">
        <f>("035141")</f>
        <v>035141</v>
      </c>
      <c r="C148" s="1" t="str">
        <f>("622454351417")</f>
        <v>622454351417</v>
      </c>
      <c r="D148" s="1" t="s">
        <v>306</v>
      </c>
      <c r="E148" t="s">
        <v>307</v>
      </c>
      <c r="F148" s="3">
        <v>6.6914893617021285</v>
      </c>
      <c r="G148" s="1" t="s">
        <v>14</v>
      </c>
      <c r="H148" s="2">
        <v>44621</v>
      </c>
      <c r="I148" s="1">
        <v>0.10199999999999999</v>
      </c>
      <c r="J148" s="1">
        <v>0.22500000000000001</v>
      </c>
      <c r="K148" s="1">
        <v>20</v>
      </c>
      <c r="L148" s="1" t="s">
        <v>15</v>
      </c>
    </row>
    <row r="149" spans="1:12" x14ac:dyDescent="0.25">
      <c r="A149" s="1" t="s">
        <v>468</v>
      </c>
      <c r="B149" s="1" t="str">
        <f>("035142")</f>
        <v>035142</v>
      </c>
      <c r="C149" s="1" t="str">
        <f>("622454351424")</f>
        <v>622454351424</v>
      </c>
      <c r="D149" s="1" t="s">
        <v>308</v>
      </c>
      <c r="E149" t="s">
        <v>309</v>
      </c>
      <c r="F149" s="3">
        <v>16.872340425531917</v>
      </c>
      <c r="G149" s="1" t="s">
        <v>14</v>
      </c>
      <c r="H149" s="2">
        <v>44621</v>
      </c>
      <c r="I149" s="1">
        <v>0.19800000000000001</v>
      </c>
      <c r="J149" s="1">
        <v>0.437</v>
      </c>
      <c r="K149" s="1">
        <v>10</v>
      </c>
      <c r="L149" s="1" t="s">
        <v>15</v>
      </c>
    </row>
    <row r="150" spans="1:12" x14ac:dyDescent="0.25">
      <c r="A150" s="1" t="s">
        <v>468</v>
      </c>
      <c r="B150" s="1" t="str">
        <f>("035143")</f>
        <v>035143</v>
      </c>
      <c r="C150" s="1" t="str">
        <f>("622454351431")</f>
        <v>622454351431</v>
      </c>
      <c r="D150" s="1" t="s">
        <v>310</v>
      </c>
      <c r="E150" t="s">
        <v>311</v>
      </c>
      <c r="F150" s="3">
        <v>22.627659574468087</v>
      </c>
      <c r="G150" s="1" t="s">
        <v>14</v>
      </c>
      <c r="H150" s="2">
        <v>44621</v>
      </c>
      <c r="I150" s="1">
        <v>0.26200000000000001</v>
      </c>
      <c r="J150" s="1">
        <v>0.57799999999999996</v>
      </c>
      <c r="K150" s="1">
        <v>10</v>
      </c>
      <c r="L150" s="1" t="s">
        <v>15</v>
      </c>
    </row>
    <row r="151" spans="1:12" x14ac:dyDescent="0.25">
      <c r="A151" s="1" t="s">
        <v>468</v>
      </c>
      <c r="B151" s="1" t="str">
        <f>("035144")</f>
        <v>035144</v>
      </c>
      <c r="C151" s="1" t="str">
        <f>("622454351448")</f>
        <v>622454351448</v>
      </c>
      <c r="D151" s="1" t="s">
        <v>312</v>
      </c>
      <c r="E151" t="s">
        <v>313</v>
      </c>
      <c r="F151" s="3">
        <v>37.457446808510639</v>
      </c>
      <c r="G151" s="1" t="s">
        <v>14</v>
      </c>
      <c r="H151" s="2">
        <v>44621</v>
      </c>
      <c r="I151" s="1">
        <v>0.39600000000000002</v>
      </c>
      <c r="J151" s="1">
        <v>0.873</v>
      </c>
      <c r="K151" s="1">
        <v>10</v>
      </c>
      <c r="L151" s="1" t="s">
        <v>15</v>
      </c>
    </row>
    <row r="152" spans="1:12" x14ac:dyDescent="0.25">
      <c r="A152" s="1" t="s">
        <v>468</v>
      </c>
      <c r="B152" s="1" t="str">
        <f>("035145")</f>
        <v>035145</v>
      </c>
      <c r="C152" s="1" t="str">
        <f>("622454351455")</f>
        <v>622454351455</v>
      </c>
      <c r="D152" s="1" t="s">
        <v>314</v>
      </c>
      <c r="E152" t="s">
        <v>315</v>
      </c>
      <c r="F152" s="3">
        <v>96.989361702127667</v>
      </c>
      <c r="G152" s="1" t="s">
        <v>14</v>
      </c>
      <c r="H152" s="2">
        <v>44621</v>
      </c>
      <c r="I152" s="1">
        <v>0.73199999999999998</v>
      </c>
      <c r="J152" s="1">
        <v>1.6140000000000001</v>
      </c>
      <c r="K152" s="1">
        <v>10</v>
      </c>
      <c r="L152" s="1" t="s">
        <v>15</v>
      </c>
    </row>
    <row r="153" spans="1:12" x14ac:dyDescent="0.25">
      <c r="A153" s="1" t="s">
        <v>468</v>
      </c>
      <c r="B153" s="1" t="str">
        <f>("035146")</f>
        <v>035146</v>
      </c>
      <c r="C153" s="1" t="str">
        <f>("622454351462")</f>
        <v>622454351462</v>
      </c>
      <c r="D153" s="1" t="s">
        <v>316</v>
      </c>
      <c r="E153" t="s">
        <v>317</v>
      </c>
      <c r="F153" s="3">
        <v>137.71276595744681</v>
      </c>
      <c r="G153" s="1" t="s">
        <v>14</v>
      </c>
      <c r="H153" s="2">
        <v>44621</v>
      </c>
      <c r="I153" s="1">
        <v>0.92700000000000005</v>
      </c>
      <c r="J153" s="1">
        <v>2.044</v>
      </c>
      <c r="K153" s="1">
        <v>10</v>
      </c>
      <c r="L153" s="1" t="s">
        <v>15</v>
      </c>
    </row>
    <row r="154" spans="1:12" x14ac:dyDescent="0.25">
      <c r="A154" s="1" t="s">
        <v>468</v>
      </c>
      <c r="B154" s="1" t="str">
        <f>("035148")</f>
        <v>035148</v>
      </c>
      <c r="C154" s="1" t="str">
        <f>("622454351486")</f>
        <v>622454351486</v>
      </c>
      <c r="D154" s="1" t="s">
        <v>318</v>
      </c>
      <c r="E154" t="s">
        <v>319</v>
      </c>
      <c r="F154" s="3">
        <v>2.1489361702127661</v>
      </c>
      <c r="G154" s="1" t="s">
        <v>14</v>
      </c>
      <c r="H154" s="2">
        <v>44621</v>
      </c>
      <c r="I154" s="1">
        <v>1.7999999999999999E-2</v>
      </c>
      <c r="J154" s="1">
        <v>0.04</v>
      </c>
      <c r="K154" s="1">
        <v>50</v>
      </c>
      <c r="L154" s="1" t="s">
        <v>15</v>
      </c>
    </row>
    <row r="155" spans="1:12" x14ac:dyDescent="0.25">
      <c r="A155" s="1" t="s">
        <v>468</v>
      </c>
      <c r="B155" s="1" t="str">
        <f>("035149")</f>
        <v>035149</v>
      </c>
      <c r="C155" s="1" t="str">
        <f>("622454351493")</f>
        <v>622454351493</v>
      </c>
      <c r="D155" s="1" t="s">
        <v>320</v>
      </c>
      <c r="E155" t="s">
        <v>321</v>
      </c>
      <c r="F155" s="3">
        <v>2.521276595744681</v>
      </c>
      <c r="G155" s="1" t="s">
        <v>14</v>
      </c>
      <c r="H155" s="2">
        <v>44621</v>
      </c>
      <c r="I155" s="1">
        <v>2.7E-2</v>
      </c>
      <c r="J155" s="1">
        <v>0.06</v>
      </c>
      <c r="K155" s="1">
        <v>25</v>
      </c>
      <c r="L155" s="1" t="s">
        <v>15</v>
      </c>
    </row>
    <row r="156" spans="1:12" x14ac:dyDescent="0.25">
      <c r="A156" s="1" t="s">
        <v>468</v>
      </c>
      <c r="B156" s="1" t="str">
        <f>("035150")</f>
        <v>035150</v>
      </c>
      <c r="C156" s="1" t="str">
        <f>("622454351509")</f>
        <v>622454351509</v>
      </c>
      <c r="D156" s="1" t="s">
        <v>322</v>
      </c>
      <c r="E156" t="s">
        <v>323</v>
      </c>
      <c r="F156" s="3">
        <v>4.0212765957446805</v>
      </c>
      <c r="G156" s="1" t="s">
        <v>14</v>
      </c>
      <c r="H156" s="2">
        <v>44621</v>
      </c>
      <c r="I156" s="1">
        <v>4.4999999999999998E-2</v>
      </c>
      <c r="J156" s="1">
        <v>9.9000000000000005E-2</v>
      </c>
      <c r="K156" s="1">
        <v>50</v>
      </c>
      <c r="L156" s="1" t="s">
        <v>15</v>
      </c>
    </row>
    <row r="157" spans="1:12" x14ac:dyDescent="0.25">
      <c r="A157" s="1" t="s">
        <v>468</v>
      </c>
      <c r="B157" s="1" t="str">
        <f>("035151")</f>
        <v>035151</v>
      </c>
      <c r="C157" s="1" t="str">
        <f>("622454351516")</f>
        <v>622454351516</v>
      </c>
      <c r="D157" s="1" t="s">
        <v>324</v>
      </c>
      <c r="E157" t="s">
        <v>325</v>
      </c>
      <c r="F157" s="3">
        <v>5.5212765957446814</v>
      </c>
      <c r="G157" s="1" t="s">
        <v>14</v>
      </c>
      <c r="H157" s="2">
        <v>44621</v>
      </c>
      <c r="I157" s="1">
        <v>6.4000000000000001E-2</v>
      </c>
      <c r="J157" s="1">
        <v>0.14099999999999999</v>
      </c>
      <c r="K157" s="1">
        <v>25</v>
      </c>
      <c r="L157" s="1" t="s">
        <v>15</v>
      </c>
    </row>
    <row r="158" spans="1:12" x14ac:dyDescent="0.25">
      <c r="A158" s="1" t="s">
        <v>468</v>
      </c>
      <c r="B158" s="1" t="str">
        <f>("035152")</f>
        <v>035152</v>
      </c>
      <c r="C158" s="1" t="str">
        <f>("622454351523")</f>
        <v>622454351523</v>
      </c>
      <c r="D158" s="1" t="s">
        <v>326</v>
      </c>
      <c r="E158" t="s">
        <v>327</v>
      </c>
      <c r="F158" s="3">
        <v>6.9042553191489366</v>
      </c>
      <c r="G158" s="1" t="s">
        <v>14</v>
      </c>
      <c r="H158" s="2">
        <v>44621</v>
      </c>
      <c r="I158" s="1">
        <v>7.6999999999999999E-2</v>
      </c>
      <c r="J158" s="1">
        <v>0.17</v>
      </c>
      <c r="K158" s="1">
        <v>20</v>
      </c>
      <c r="L158" s="1" t="s">
        <v>15</v>
      </c>
    </row>
    <row r="159" spans="1:12" x14ac:dyDescent="0.25">
      <c r="A159" s="1" t="s">
        <v>468</v>
      </c>
      <c r="B159" s="1" t="str">
        <f>("035153")</f>
        <v>035153</v>
      </c>
      <c r="C159" s="1" t="str">
        <f>("622454351530")</f>
        <v>622454351530</v>
      </c>
      <c r="D159" s="1" t="s">
        <v>328</v>
      </c>
      <c r="E159" t="s">
        <v>329</v>
      </c>
      <c r="F159" s="3">
        <v>10.138297872340425</v>
      </c>
      <c r="G159" s="1" t="s">
        <v>14</v>
      </c>
      <c r="H159" s="2">
        <v>44621</v>
      </c>
      <c r="I159" s="1">
        <v>0.11799999999999999</v>
      </c>
      <c r="J159" s="1">
        <v>0.26</v>
      </c>
      <c r="K159" s="1">
        <v>20</v>
      </c>
      <c r="L159" s="1" t="s">
        <v>15</v>
      </c>
    </row>
    <row r="160" spans="1:12" x14ac:dyDescent="0.25">
      <c r="A160" s="1" t="s">
        <v>468</v>
      </c>
      <c r="B160" s="1" t="str">
        <f>("035155")</f>
        <v>035155</v>
      </c>
      <c r="C160" s="1" t="str">
        <f>("622454351554")</f>
        <v>622454351554</v>
      </c>
      <c r="D160" s="1" t="s">
        <v>330</v>
      </c>
      <c r="E160" t="s">
        <v>331</v>
      </c>
      <c r="F160" s="3">
        <v>34.329787234042556</v>
      </c>
      <c r="G160" s="1" t="s">
        <v>14</v>
      </c>
      <c r="H160" s="2">
        <v>44621</v>
      </c>
      <c r="I160" s="1">
        <v>0.25900000000000001</v>
      </c>
      <c r="J160" s="1">
        <v>0.57099999999999995</v>
      </c>
      <c r="K160" s="1">
        <v>10</v>
      </c>
      <c r="L160" s="1" t="s">
        <v>15</v>
      </c>
    </row>
    <row r="161" spans="1:12" x14ac:dyDescent="0.25">
      <c r="A161" s="1" t="s">
        <v>468</v>
      </c>
      <c r="B161" s="1" t="str">
        <f>("035156")</f>
        <v>035156</v>
      </c>
      <c r="C161" s="1" t="str">
        <f>("622454351561")</f>
        <v>622454351561</v>
      </c>
      <c r="D161" s="1" t="s">
        <v>332</v>
      </c>
      <c r="E161" t="s">
        <v>333</v>
      </c>
      <c r="F161" s="3">
        <v>56.872340425531917</v>
      </c>
      <c r="G161" s="1" t="s">
        <v>14</v>
      </c>
      <c r="H161" s="2">
        <v>44621</v>
      </c>
      <c r="I161" s="1">
        <v>0.376</v>
      </c>
      <c r="J161" s="1">
        <v>0.82899999999999996</v>
      </c>
      <c r="K161" s="1">
        <v>5</v>
      </c>
      <c r="L161" s="1" t="s">
        <v>15</v>
      </c>
    </row>
    <row r="162" spans="1:12" x14ac:dyDescent="0.25">
      <c r="A162" s="1" t="s">
        <v>468</v>
      </c>
      <c r="B162" s="1" t="str">
        <f>("035068")</f>
        <v>035068</v>
      </c>
      <c r="C162" s="1" t="str">
        <f>("622454350687")</f>
        <v>622454350687</v>
      </c>
      <c r="D162" s="1" t="s">
        <v>334</v>
      </c>
      <c r="E162" t="s">
        <v>335</v>
      </c>
      <c r="F162" s="3">
        <v>6.4680851063829792</v>
      </c>
      <c r="G162" s="1" t="s">
        <v>14</v>
      </c>
      <c r="H162" s="2">
        <v>44621</v>
      </c>
      <c r="I162" s="1">
        <v>4.2999999999999997E-2</v>
      </c>
      <c r="J162" s="1">
        <v>9.5000000000000001E-2</v>
      </c>
      <c r="K162" s="1">
        <v>50</v>
      </c>
      <c r="L162" s="1" t="s">
        <v>15</v>
      </c>
    </row>
    <row r="163" spans="1:12" x14ac:dyDescent="0.25">
      <c r="A163" s="1" t="s">
        <v>468</v>
      </c>
      <c r="B163" s="1" t="str">
        <f>("035069")</f>
        <v>035069</v>
      </c>
      <c r="C163" s="1" t="str">
        <f>("622454350694")</f>
        <v>622454350694</v>
      </c>
      <c r="D163" s="1" t="s">
        <v>336</v>
      </c>
      <c r="E163" t="s">
        <v>337</v>
      </c>
      <c r="F163" s="3">
        <v>10.670212765957446</v>
      </c>
      <c r="G163" s="1" t="s">
        <v>14</v>
      </c>
      <c r="H163" s="2">
        <v>44621</v>
      </c>
      <c r="I163" s="1">
        <v>5.8999999999999997E-2</v>
      </c>
      <c r="J163" s="1">
        <v>0.13</v>
      </c>
      <c r="K163" s="1">
        <v>30</v>
      </c>
      <c r="L163" s="1" t="s">
        <v>15</v>
      </c>
    </row>
    <row r="164" spans="1:12" x14ac:dyDescent="0.25">
      <c r="A164" s="1" t="s">
        <v>468</v>
      </c>
      <c r="B164" s="1" t="str">
        <f>("035070")</f>
        <v>035070</v>
      </c>
      <c r="C164" s="1" t="str">
        <f>("622454350700")</f>
        <v>622454350700</v>
      </c>
      <c r="D164" s="1" t="s">
        <v>338</v>
      </c>
      <c r="E164" t="s">
        <v>339</v>
      </c>
      <c r="F164" s="3">
        <v>13.297872340425533</v>
      </c>
      <c r="G164" s="1" t="s">
        <v>14</v>
      </c>
      <c r="H164" s="2">
        <v>44621</v>
      </c>
      <c r="I164" s="1">
        <v>0.111</v>
      </c>
      <c r="J164" s="1">
        <v>0.245</v>
      </c>
      <c r="K164" s="1">
        <v>15</v>
      </c>
      <c r="L164" s="1" t="s">
        <v>15</v>
      </c>
    </row>
    <row r="165" spans="1:12" x14ac:dyDescent="0.25">
      <c r="A165" s="1" t="s">
        <v>468</v>
      </c>
      <c r="B165" s="1" t="str">
        <f>("035071")</f>
        <v>035071</v>
      </c>
      <c r="C165" s="1" t="str">
        <f>("622454350717")</f>
        <v>622454350717</v>
      </c>
      <c r="D165" s="1" t="s">
        <v>340</v>
      </c>
      <c r="E165" t="s">
        <v>341</v>
      </c>
      <c r="F165" s="3">
        <v>17.627659574468087</v>
      </c>
      <c r="G165" s="1" t="s">
        <v>14</v>
      </c>
      <c r="H165" s="2">
        <v>44621</v>
      </c>
      <c r="I165" s="1">
        <v>0.16</v>
      </c>
      <c r="J165" s="1">
        <v>0.35299999999999998</v>
      </c>
      <c r="K165" s="1">
        <v>10</v>
      </c>
      <c r="L165" s="1" t="s">
        <v>15</v>
      </c>
    </row>
    <row r="166" spans="1:12" x14ac:dyDescent="0.25">
      <c r="A166" s="1" t="s">
        <v>468</v>
      </c>
      <c r="B166" s="1" t="str">
        <f>("035072")</f>
        <v>035072</v>
      </c>
      <c r="C166" s="1" t="str">
        <f>("622454350724")</f>
        <v>622454350724</v>
      </c>
      <c r="D166" s="1" t="s">
        <v>342</v>
      </c>
      <c r="E166" t="s">
        <v>343</v>
      </c>
      <c r="F166" s="3">
        <v>19.98936170212766</v>
      </c>
      <c r="G166" s="1" t="s">
        <v>14</v>
      </c>
      <c r="H166" s="2">
        <v>44621</v>
      </c>
      <c r="I166" s="1">
        <v>0.214</v>
      </c>
      <c r="J166" s="1">
        <v>0.47199999999999998</v>
      </c>
      <c r="K166" s="1">
        <v>8</v>
      </c>
      <c r="L166" s="1" t="s">
        <v>15</v>
      </c>
    </row>
    <row r="167" spans="1:12" x14ac:dyDescent="0.25">
      <c r="A167" s="1" t="s">
        <v>468</v>
      </c>
      <c r="B167" s="1" t="str">
        <f>("035073")</f>
        <v>035073</v>
      </c>
      <c r="C167" s="1" t="str">
        <f>("622454350731")</f>
        <v>622454350731</v>
      </c>
      <c r="D167" s="1" t="s">
        <v>344</v>
      </c>
      <c r="E167" t="s">
        <v>345</v>
      </c>
      <c r="F167" s="3">
        <v>29.521276595744684</v>
      </c>
      <c r="G167" s="1" t="s">
        <v>14</v>
      </c>
      <c r="H167" s="2">
        <v>44621</v>
      </c>
      <c r="I167" s="1">
        <v>0.31900000000000001</v>
      </c>
      <c r="J167" s="1">
        <v>0.70299999999999996</v>
      </c>
      <c r="K167" s="1">
        <v>4</v>
      </c>
      <c r="L167" s="1" t="s">
        <v>15</v>
      </c>
    </row>
    <row r="168" spans="1:12" x14ac:dyDescent="0.25">
      <c r="A168" s="1" t="s">
        <v>468</v>
      </c>
      <c r="B168" s="1" t="str">
        <f>("035074")</f>
        <v>035074</v>
      </c>
      <c r="C168" s="1" t="str">
        <f>("622454350748")</f>
        <v>622454350748</v>
      </c>
      <c r="D168" s="1" t="s">
        <v>346</v>
      </c>
      <c r="E168" t="s">
        <v>347</v>
      </c>
      <c r="F168" s="3">
        <v>62.574468085106389</v>
      </c>
      <c r="G168" s="1" t="s">
        <v>14</v>
      </c>
      <c r="H168" s="2">
        <v>44621</v>
      </c>
      <c r="I168" s="1">
        <v>0.71899999999999997</v>
      </c>
      <c r="J168" s="1">
        <v>1.585</v>
      </c>
      <c r="K168" s="1">
        <v>10</v>
      </c>
      <c r="L168" s="1" t="s">
        <v>15</v>
      </c>
    </row>
    <row r="169" spans="1:12" x14ac:dyDescent="0.25">
      <c r="A169" s="1" t="s">
        <v>468</v>
      </c>
      <c r="B169" s="1" t="str">
        <f>("035075")</f>
        <v>035075</v>
      </c>
      <c r="C169" s="1" t="str">
        <f>("622454350755")</f>
        <v>622454350755</v>
      </c>
      <c r="D169" s="1" t="s">
        <v>348</v>
      </c>
      <c r="E169" t="s">
        <v>349</v>
      </c>
      <c r="F169" s="3">
        <v>76.712765957446805</v>
      </c>
      <c r="G169" s="1" t="s">
        <v>14</v>
      </c>
      <c r="H169" s="2">
        <v>44621</v>
      </c>
      <c r="I169" s="1">
        <v>0.88100000000000001</v>
      </c>
      <c r="J169" s="1">
        <v>1.9419999999999999</v>
      </c>
      <c r="K169" s="1">
        <v>6</v>
      </c>
      <c r="L169" s="1" t="s">
        <v>15</v>
      </c>
    </row>
    <row r="170" spans="1:12" x14ac:dyDescent="0.25">
      <c r="A170" s="1" t="s">
        <v>468</v>
      </c>
      <c r="B170" s="1" t="str">
        <f>("035076")</f>
        <v>035076</v>
      </c>
      <c r="C170" s="1" t="str">
        <f>("622454350762")</f>
        <v>622454350762</v>
      </c>
      <c r="D170" s="1" t="s">
        <v>350</v>
      </c>
      <c r="E170" t="s">
        <v>351</v>
      </c>
      <c r="F170" s="3">
        <v>113.71276595744682</v>
      </c>
      <c r="G170" s="1" t="s">
        <v>14</v>
      </c>
      <c r="H170" s="2">
        <v>44621</v>
      </c>
      <c r="I170" s="1">
        <v>1.4059999999999999</v>
      </c>
      <c r="J170" s="1">
        <v>3.1</v>
      </c>
      <c r="K170" s="1">
        <v>4</v>
      </c>
      <c r="L170" s="1" t="s">
        <v>15</v>
      </c>
    </row>
    <row r="171" spans="1:12" x14ac:dyDescent="0.25">
      <c r="A171" s="1" t="s">
        <v>468</v>
      </c>
      <c r="B171" s="1" t="str">
        <f>("035157")</f>
        <v>035157</v>
      </c>
      <c r="C171" s="1" t="str">
        <f>("622454351578")</f>
        <v>622454351578</v>
      </c>
      <c r="D171" s="1">
        <v>1436005</v>
      </c>
      <c r="E171" t="s">
        <v>352</v>
      </c>
      <c r="F171" s="3">
        <v>3.0531914893617023</v>
      </c>
      <c r="G171" s="1" t="s">
        <v>14</v>
      </c>
      <c r="H171" s="2">
        <v>44621</v>
      </c>
      <c r="I171" s="1">
        <v>6.0000000000000001E-3</v>
      </c>
      <c r="J171" s="1">
        <v>1.2999999999999999E-2</v>
      </c>
      <c r="K171" s="1">
        <v>50</v>
      </c>
      <c r="L171" s="1" t="s">
        <v>353</v>
      </c>
    </row>
    <row r="172" spans="1:12" x14ac:dyDescent="0.25">
      <c r="A172" s="1" t="s">
        <v>468</v>
      </c>
      <c r="B172" s="1" t="str">
        <f>("035158")</f>
        <v>035158</v>
      </c>
      <c r="C172" s="1" t="str">
        <f>("622454351585")</f>
        <v>622454351585</v>
      </c>
      <c r="D172" s="1">
        <v>1436007</v>
      </c>
      <c r="E172" t="s">
        <v>354</v>
      </c>
      <c r="F172" s="3">
        <v>3.8297872340425534</v>
      </c>
      <c r="G172" s="1" t="s">
        <v>14</v>
      </c>
      <c r="H172" s="2">
        <v>44621</v>
      </c>
      <c r="I172" s="1">
        <v>1.7999999999999999E-2</v>
      </c>
      <c r="J172" s="1">
        <v>0.04</v>
      </c>
      <c r="K172" s="1">
        <v>50</v>
      </c>
      <c r="L172" s="1" t="s">
        <v>353</v>
      </c>
    </row>
    <row r="173" spans="1:12" x14ac:dyDescent="0.25">
      <c r="A173" s="1" t="s">
        <v>468</v>
      </c>
      <c r="B173" s="1" t="str">
        <f>("035159")</f>
        <v>035159</v>
      </c>
      <c r="C173" s="1" t="str">
        <f>("622454351592")</f>
        <v>622454351592</v>
      </c>
      <c r="D173" s="1">
        <v>1436010</v>
      </c>
      <c r="E173" t="s">
        <v>355</v>
      </c>
      <c r="F173" s="3">
        <v>3.9468085106382982</v>
      </c>
      <c r="G173" s="1" t="s">
        <v>14</v>
      </c>
      <c r="H173" s="2">
        <v>44621</v>
      </c>
      <c r="I173" s="1">
        <v>3.1E-2</v>
      </c>
      <c r="J173" s="1">
        <v>6.8000000000000005E-2</v>
      </c>
      <c r="K173" s="1">
        <v>50</v>
      </c>
      <c r="L173" s="1" t="s">
        <v>353</v>
      </c>
    </row>
    <row r="174" spans="1:12" x14ac:dyDescent="0.25">
      <c r="A174" s="1" t="s">
        <v>468</v>
      </c>
      <c r="B174" s="1" t="str">
        <f>("035160")</f>
        <v>035160</v>
      </c>
      <c r="C174" s="1" t="str">
        <f>("622454351608")</f>
        <v>622454351608</v>
      </c>
      <c r="D174" s="1">
        <v>1436012</v>
      </c>
      <c r="E174" t="s">
        <v>356</v>
      </c>
      <c r="F174" s="3">
        <v>6.1489361702127665</v>
      </c>
      <c r="G174" s="1" t="s">
        <v>14</v>
      </c>
      <c r="H174" s="2">
        <v>44621</v>
      </c>
      <c r="I174" s="1">
        <v>4.3999999999999997E-2</v>
      </c>
      <c r="J174" s="1">
        <v>9.7000000000000003E-2</v>
      </c>
      <c r="K174" s="1">
        <v>20</v>
      </c>
      <c r="L174" s="1" t="s">
        <v>353</v>
      </c>
    </row>
    <row r="175" spans="1:12" x14ac:dyDescent="0.25">
      <c r="A175" s="1" t="s">
        <v>468</v>
      </c>
      <c r="B175" s="1" t="str">
        <f>("035161")</f>
        <v>035161</v>
      </c>
      <c r="C175" s="1" t="str">
        <f>("622454351615")</f>
        <v>622454351615</v>
      </c>
      <c r="D175" s="1">
        <v>1436015</v>
      </c>
      <c r="E175" t="s">
        <v>357</v>
      </c>
      <c r="F175" s="3">
        <v>6.9148936170212769</v>
      </c>
      <c r="G175" s="1" t="s">
        <v>14</v>
      </c>
      <c r="H175" s="2">
        <v>44621</v>
      </c>
      <c r="I175" s="1">
        <v>5.8000000000000003E-2</v>
      </c>
      <c r="J175" s="1">
        <v>0.128</v>
      </c>
      <c r="K175" s="1">
        <v>25</v>
      </c>
      <c r="L175" s="1" t="s">
        <v>353</v>
      </c>
    </row>
    <row r="176" spans="1:12" x14ac:dyDescent="0.25">
      <c r="A176" s="1" t="s">
        <v>468</v>
      </c>
      <c r="B176" s="1" t="str">
        <f>("035162")</f>
        <v>035162</v>
      </c>
      <c r="C176" s="1" t="str">
        <f>("622454351622")</f>
        <v>622454351622</v>
      </c>
      <c r="D176" s="1">
        <v>1436020</v>
      </c>
      <c r="E176" t="s">
        <v>358</v>
      </c>
      <c r="F176" s="3">
        <v>13.042553191489363</v>
      </c>
      <c r="G176" s="1" t="s">
        <v>14</v>
      </c>
      <c r="H176" s="2">
        <v>44621</v>
      </c>
      <c r="I176" s="1">
        <v>8.6999999999999994E-2</v>
      </c>
      <c r="J176" s="1">
        <v>0.192</v>
      </c>
      <c r="K176" s="1">
        <v>10</v>
      </c>
      <c r="L176" s="1" t="s">
        <v>353</v>
      </c>
    </row>
    <row r="177" spans="1:12" x14ac:dyDescent="0.25">
      <c r="A177" s="1" t="s">
        <v>468</v>
      </c>
      <c r="B177" s="1" t="str">
        <f>("035163")</f>
        <v>035163</v>
      </c>
      <c r="C177" s="1" t="str">
        <f>("622454351639")</f>
        <v>622454351639</v>
      </c>
      <c r="D177" s="1">
        <v>1436025</v>
      </c>
      <c r="E177" t="s">
        <v>359</v>
      </c>
      <c r="F177" s="3">
        <v>53.446808510638306</v>
      </c>
      <c r="G177" s="1" t="s">
        <v>14</v>
      </c>
      <c r="H177" s="2">
        <v>44621</v>
      </c>
      <c r="I177" s="1">
        <v>0.154</v>
      </c>
      <c r="J177" s="1">
        <v>0.34</v>
      </c>
      <c r="K177" s="1">
        <v>10</v>
      </c>
      <c r="L177" s="1" t="s">
        <v>353</v>
      </c>
    </row>
    <row r="178" spans="1:12" x14ac:dyDescent="0.25">
      <c r="A178" s="1" t="s">
        <v>468</v>
      </c>
      <c r="B178" s="1" t="str">
        <f>("035164")</f>
        <v>035164</v>
      </c>
      <c r="C178" s="1" t="str">
        <f>("622454351646")</f>
        <v>622454351646</v>
      </c>
      <c r="D178" s="1">
        <v>1436030</v>
      </c>
      <c r="E178" t="s">
        <v>360</v>
      </c>
      <c r="F178" s="3">
        <v>61.606382978723403</v>
      </c>
      <c r="G178" s="1" t="s">
        <v>14</v>
      </c>
      <c r="H178" s="2">
        <v>44621</v>
      </c>
      <c r="I178" s="1">
        <v>0.20899999999999999</v>
      </c>
      <c r="J178" s="1">
        <v>0.46100000000000002</v>
      </c>
      <c r="K178" s="1">
        <v>10</v>
      </c>
      <c r="L178" s="1" t="s">
        <v>353</v>
      </c>
    </row>
    <row r="179" spans="1:12" x14ac:dyDescent="0.25">
      <c r="A179" s="1" t="s">
        <v>468</v>
      </c>
      <c r="B179" s="1" t="str">
        <f>("035165")</f>
        <v>035165</v>
      </c>
      <c r="C179" s="1" t="str">
        <f>("622454351653")</f>
        <v>622454351653</v>
      </c>
      <c r="D179" s="1">
        <v>1436040</v>
      </c>
      <c r="E179" t="s">
        <v>361</v>
      </c>
      <c r="F179" s="3">
        <v>85.659574468085111</v>
      </c>
      <c r="G179" s="1" t="s">
        <v>14</v>
      </c>
      <c r="H179" s="2">
        <v>44621</v>
      </c>
      <c r="I179" s="1">
        <v>0.34</v>
      </c>
      <c r="J179" s="1">
        <v>0.75</v>
      </c>
      <c r="K179" s="1">
        <v>10</v>
      </c>
      <c r="L179" s="1" t="s">
        <v>353</v>
      </c>
    </row>
    <row r="180" spans="1:12" x14ac:dyDescent="0.25">
      <c r="A180" s="1" t="s">
        <v>468</v>
      </c>
      <c r="B180" s="1" t="str">
        <f>("035209")</f>
        <v>035209</v>
      </c>
      <c r="C180" s="1" t="str">
        <f>("622454352094")</f>
        <v>622454352094</v>
      </c>
      <c r="D180" s="1" t="s">
        <v>362</v>
      </c>
      <c r="E180" t="s">
        <v>363</v>
      </c>
      <c r="F180" s="3">
        <v>1.7765957446808511</v>
      </c>
      <c r="G180" s="1" t="s">
        <v>14</v>
      </c>
      <c r="H180" s="2">
        <v>44621</v>
      </c>
      <c r="I180" s="1">
        <v>1.4999999999999999E-2</v>
      </c>
      <c r="J180" s="1">
        <v>3.3000000000000002E-2</v>
      </c>
      <c r="K180" s="1">
        <v>100</v>
      </c>
      <c r="L180" s="1" t="s">
        <v>15</v>
      </c>
    </row>
    <row r="181" spans="1:12" x14ac:dyDescent="0.25">
      <c r="A181" s="1" t="s">
        <v>468</v>
      </c>
      <c r="B181" s="1" t="str">
        <f>("035211")</f>
        <v>035211</v>
      </c>
      <c r="C181" s="1" t="str">
        <f>("622454352117")</f>
        <v>622454352117</v>
      </c>
      <c r="D181" s="1" t="s">
        <v>364</v>
      </c>
      <c r="E181" t="s">
        <v>365</v>
      </c>
      <c r="F181" s="3">
        <v>3.2553191489361706</v>
      </c>
      <c r="G181" s="1" t="s">
        <v>14</v>
      </c>
      <c r="H181" s="2">
        <v>44621</v>
      </c>
      <c r="I181" s="1">
        <v>3.4000000000000002E-2</v>
      </c>
      <c r="J181" s="1">
        <v>7.4999999999999997E-2</v>
      </c>
      <c r="K181" s="1">
        <v>50</v>
      </c>
      <c r="L181" s="1" t="s">
        <v>15</v>
      </c>
    </row>
    <row r="182" spans="1:12" x14ac:dyDescent="0.25">
      <c r="A182" s="1" t="s">
        <v>468</v>
      </c>
      <c r="B182" s="1" t="str">
        <f>("035212")</f>
        <v>035212</v>
      </c>
      <c r="C182" s="1" t="str">
        <f>("622454352124")</f>
        <v>622454352124</v>
      </c>
      <c r="D182" s="1" t="s">
        <v>366</v>
      </c>
      <c r="E182" t="s">
        <v>367</v>
      </c>
      <c r="F182" s="3">
        <v>3.2553191489361706</v>
      </c>
      <c r="G182" s="1" t="s">
        <v>14</v>
      </c>
      <c r="H182" s="2">
        <v>44621</v>
      </c>
      <c r="I182" s="1">
        <v>1.7999999999999999E-2</v>
      </c>
      <c r="J182" s="1">
        <v>0.04</v>
      </c>
      <c r="K182" s="1">
        <v>50</v>
      </c>
      <c r="L182" s="1" t="s">
        <v>15</v>
      </c>
    </row>
    <row r="183" spans="1:12" x14ac:dyDescent="0.25">
      <c r="A183" s="1" t="s">
        <v>468</v>
      </c>
      <c r="B183" s="1" t="str">
        <f>("035213")</f>
        <v>035213</v>
      </c>
      <c r="C183" s="1" t="str">
        <f>("622454352131")</f>
        <v>622454352131</v>
      </c>
      <c r="D183" s="1" t="s">
        <v>368</v>
      </c>
      <c r="E183" t="s">
        <v>369</v>
      </c>
      <c r="F183" s="3">
        <v>4.2978723404255321</v>
      </c>
      <c r="G183" s="1" t="s">
        <v>14</v>
      </c>
      <c r="H183" s="2">
        <v>44621</v>
      </c>
      <c r="I183" s="1">
        <v>6.3E-2</v>
      </c>
      <c r="J183" s="1">
        <v>0.13900000000000001</v>
      </c>
      <c r="K183" s="1">
        <v>25</v>
      </c>
      <c r="L183" s="1" t="s">
        <v>15</v>
      </c>
    </row>
    <row r="184" spans="1:12" x14ac:dyDescent="0.25">
      <c r="A184" s="1" t="s">
        <v>468</v>
      </c>
      <c r="B184" s="1" t="str">
        <f>("035214")</f>
        <v>035214</v>
      </c>
      <c r="C184" s="1" t="str">
        <f>("622454352148")</f>
        <v>622454352148</v>
      </c>
      <c r="D184" s="1" t="s">
        <v>370</v>
      </c>
      <c r="E184" t="s">
        <v>371</v>
      </c>
      <c r="F184" s="3">
        <v>4.2978723404255321</v>
      </c>
      <c r="G184" s="1" t="s">
        <v>14</v>
      </c>
      <c r="H184" s="2">
        <v>44621</v>
      </c>
      <c r="I184" s="1">
        <v>5.3999999999999999E-2</v>
      </c>
      <c r="J184" s="1">
        <v>0.11899999999999999</v>
      </c>
      <c r="K184" s="1">
        <v>25</v>
      </c>
      <c r="L184" s="1" t="s">
        <v>15</v>
      </c>
    </row>
    <row r="185" spans="1:12" x14ac:dyDescent="0.25">
      <c r="A185" s="1" t="s">
        <v>468</v>
      </c>
      <c r="B185" s="1" t="str">
        <f>("035215")</f>
        <v>035215</v>
      </c>
      <c r="C185" s="1" t="str">
        <f>("622454352155")</f>
        <v>622454352155</v>
      </c>
      <c r="D185" s="1" t="s">
        <v>372</v>
      </c>
      <c r="E185" t="s">
        <v>373</v>
      </c>
      <c r="F185" s="3">
        <v>4.2978723404255321</v>
      </c>
      <c r="G185" s="1" t="s">
        <v>14</v>
      </c>
      <c r="H185" s="2">
        <v>44621</v>
      </c>
      <c r="I185" s="1">
        <v>0.04</v>
      </c>
      <c r="J185" s="1">
        <v>8.7999999999999995E-2</v>
      </c>
      <c r="K185" s="1">
        <v>25</v>
      </c>
      <c r="L185" s="1" t="s">
        <v>15</v>
      </c>
    </row>
    <row r="186" spans="1:12" x14ac:dyDescent="0.25">
      <c r="A186" s="1" t="s">
        <v>468</v>
      </c>
      <c r="B186" s="1" t="str">
        <f>("035216")</f>
        <v>035216</v>
      </c>
      <c r="C186" s="1" t="str">
        <f>("622454352162")</f>
        <v>622454352162</v>
      </c>
      <c r="D186" s="1" t="s">
        <v>374</v>
      </c>
      <c r="E186" t="s">
        <v>375</v>
      </c>
      <c r="F186" s="3">
        <v>4.5425531914893611</v>
      </c>
      <c r="G186" s="1" t="s">
        <v>14</v>
      </c>
      <c r="H186" s="2">
        <v>44621</v>
      </c>
      <c r="I186" s="1">
        <v>7.3999999999999996E-2</v>
      </c>
      <c r="J186" s="1">
        <v>0.16300000000000001</v>
      </c>
      <c r="K186" s="1">
        <v>20</v>
      </c>
      <c r="L186" s="1" t="s">
        <v>15</v>
      </c>
    </row>
    <row r="187" spans="1:12" x14ac:dyDescent="0.25">
      <c r="A187" s="1" t="s">
        <v>468</v>
      </c>
      <c r="B187" s="1" t="str">
        <f>("035217")</f>
        <v>035217</v>
      </c>
      <c r="C187" s="1" t="str">
        <f>("622454352179")</f>
        <v>622454352179</v>
      </c>
      <c r="D187" s="1" t="s">
        <v>376</v>
      </c>
      <c r="E187" t="s">
        <v>377</v>
      </c>
      <c r="F187" s="3">
        <v>4.5425531914893611</v>
      </c>
      <c r="G187" s="1" t="s">
        <v>14</v>
      </c>
      <c r="H187" s="2">
        <v>44621</v>
      </c>
      <c r="I187" s="1">
        <v>7.6999999999999999E-2</v>
      </c>
      <c r="J187" s="1">
        <v>0.17</v>
      </c>
      <c r="K187" s="1">
        <v>20</v>
      </c>
      <c r="L187" s="1" t="s">
        <v>15</v>
      </c>
    </row>
    <row r="188" spans="1:12" x14ac:dyDescent="0.25">
      <c r="A188" s="1" t="s">
        <v>468</v>
      </c>
      <c r="B188" s="1" t="str">
        <f>("035218")</f>
        <v>035218</v>
      </c>
      <c r="C188" s="1" t="str">
        <f>("622454352186")</f>
        <v>622454352186</v>
      </c>
      <c r="D188" s="1" t="s">
        <v>378</v>
      </c>
      <c r="E188" t="s">
        <v>379</v>
      </c>
      <c r="F188" s="3">
        <v>4.5425531914893611</v>
      </c>
      <c r="G188" s="1" t="s">
        <v>14</v>
      </c>
      <c r="H188" s="2">
        <v>44621</v>
      </c>
      <c r="I188" s="1">
        <v>6.9000000000000006E-2</v>
      </c>
      <c r="J188" s="1">
        <v>0.152</v>
      </c>
      <c r="K188" s="1">
        <v>20</v>
      </c>
      <c r="L188" s="1" t="s">
        <v>15</v>
      </c>
    </row>
    <row r="189" spans="1:12" x14ac:dyDescent="0.25">
      <c r="A189" s="1" t="s">
        <v>468</v>
      </c>
      <c r="B189" s="1" t="str">
        <f>("035219")</f>
        <v>035219</v>
      </c>
      <c r="C189" s="1" t="str">
        <f>("622454352193")</f>
        <v>622454352193</v>
      </c>
      <c r="D189" s="1" t="s">
        <v>380</v>
      </c>
      <c r="E189" t="s">
        <v>381</v>
      </c>
      <c r="F189" s="3">
        <v>4.5425531914893611</v>
      </c>
      <c r="G189" s="1" t="s">
        <v>14</v>
      </c>
      <c r="H189" s="2">
        <v>44621</v>
      </c>
      <c r="I189" s="1">
        <v>0.04</v>
      </c>
      <c r="J189" s="1">
        <v>8.7999999999999995E-2</v>
      </c>
      <c r="K189" s="1">
        <v>20</v>
      </c>
      <c r="L189" s="1" t="s">
        <v>15</v>
      </c>
    </row>
    <row r="190" spans="1:12" x14ac:dyDescent="0.25">
      <c r="A190" s="1" t="s">
        <v>468</v>
      </c>
      <c r="B190" s="1" t="str">
        <f>("035220")</f>
        <v>035220</v>
      </c>
      <c r="C190" s="1" t="str">
        <f>("622454352209")</f>
        <v>622454352209</v>
      </c>
      <c r="D190" s="1" t="s">
        <v>382</v>
      </c>
      <c r="E190" t="s">
        <v>383</v>
      </c>
      <c r="F190" s="3">
        <v>7.5531914893617023</v>
      </c>
      <c r="G190" s="1" t="s">
        <v>14</v>
      </c>
      <c r="H190" s="2">
        <v>44621</v>
      </c>
      <c r="I190" s="1">
        <v>8.2000000000000003E-2</v>
      </c>
      <c r="J190" s="1">
        <v>0.18099999999999999</v>
      </c>
      <c r="K190" s="1">
        <v>10</v>
      </c>
      <c r="L190" s="1" t="s">
        <v>15</v>
      </c>
    </row>
    <row r="191" spans="1:12" x14ac:dyDescent="0.25">
      <c r="A191" s="1" t="s">
        <v>468</v>
      </c>
      <c r="B191" s="1" t="str">
        <f>("035221")</f>
        <v>035221</v>
      </c>
      <c r="C191" s="1" t="str">
        <f>("622454352216")</f>
        <v>622454352216</v>
      </c>
      <c r="D191" s="1" t="s">
        <v>384</v>
      </c>
      <c r="E191" t="s">
        <v>385</v>
      </c>
      <c r="F191" s="3">
        <v>7.5531914893617023</v>
      </c>
      <c r="G191" s="1" t="s">
        <v>14</v>
      </c>
      <c r="H191" s="2">
        <v>44621</v>
      </c>
      <c r="I191" s="1">
        <v>8.2000000000000003E-2</v>
      </c>
      <c r="J191" s="1">
        <v>0.18099999999999999</v>
      </c>
      <c r="K191" s="1">
        <v>10</v>
      </c>
      <c r="L191" s="1" t="s">
        <v>15</v>
      </c>
    </row>
    <row r="192" spans="1:12" x14ac:dyDescent="0.25">
      <c r="A192" s="1" t="s">
        <v>468</v>
      </c>
      <c r="B192" s="1" t="str">
        <f>("035222")</f>
        <v>035222</v>
      </c>
      <c r="C192" s="1" t="str">
        <f>("622454352223")</f>
        <v>622454352223</v>
      </c>
      <c r="D192" s="1" t="s">
        <v>386</v>
      </c>
      <c r="E192" t="s">
        <v>387</v>
      </c>
      <c r="F192" s="3">
        <v>7.5531914893617023</v>
      </c>
      <c r="G192" s="1" t="s">
        <v>14</v>
      </c>
      <c r="H192" s="2">
        <v>44621</v>
      </c>
      <c r="I192" s="1">
        <v>8.6999999999999994E-2</v>
      </c>
      <c r="J192" s="1">
        <v>0.192</v>
      </c>
      <c r="K192" s="1">
        <v>15</v>
      </c>
      <c r="L192" s="1" t="s">
        <v>15</v>
      </c>
    </row>
    <row r="193" spans="1:12" x14ac:dyDescent="0.25">
      <c r="A193" s="1" t="s">
        <v>468</v>
      </c>
      <c r="B193" s="1" t="str">
        <f>("035223")</f>
        <v>035223</v>
      </c>
      <c r="C193" s="1" t="str">
        <f>("622454352230")</f>
        <v>622454352230</v>
      </c>
      <c r="D193" s="1" t="s">
        <v>388</v>
      </c>
      <c r="E193" t="s">
        <v>389</v>
      </c>
      <c r="F193" s="3">
        <v>7.5531914893617023</v>
      </c>
      <c r="G193" s="1" t="s">
        <v>14</v>
      </c>
      <c r="H193" s="2">
        <v>44621</v>
      </c>
      <c r="I193" s="1">
        <v>0.108</v>
      </c>
      <c r="J193" s="1">
        <v>0.23799999999999999</v>
      </c>
      <c r="K193" s="1">
        <v>15</v>
      </c>
      <c r="L193" s="1" t="s">
        <v>15</v>
      </c>
    </row>
    <row r="194" spans="1:12" x14ac:dyDescent="0.25">
      <c r="A194" s="1" t="s">
        <v>468</v>
      </c>
      <c r="B194" s="1" t="str">
        <f>("035224")</f>
        <v>035224</v>
      </c>
      <c r="C194" s="1" t="str">
        <f>("622454352247")</f>
        <v>622454352247</v>
      </c>
      <c r="D194" s="1" t="s">
        <v>390</v>
      </c>
      <c r="E194" t="s">
        <v>391</v>
      </c>
      <c r="F194" s="3">
        <v>7.5531914893617023</v>
      </c>
      <c r="G194" s="1" t="s">
        <v>14</v>
      </c>
      <c r="H194" s="2">
        <v>44621</v>
      </c>
      <c r="I194" s="1">
        <v>0.06</v>
      </c>
      <c r="J194" s="1">
        <v>0.13200000000000001</v>
      </c>
      <c r="K194" s="1">
        <v>15</v>
      </c>
      <c r="L194" s="1" t="s">
        <v>15</v>
      </c>
    </row>
    <row r="195" spans="1:12" x14ac:dyDescent="0.25">
      <c r="A195" s="1" t="s">
        <v>468</v>
      </c>
      <c r="B195" s="1" t="str">
        <f>("035227")</f>
        <v>035227</v>
      </c>
      <c r="C195" s="1" t="str">
        <f>("622454352278")</f>
        <v>622454352278</v>
      </c>
      <c r="D195" s="1" t="s">
        <v>392</v>
      </c>
      <c r="E195" t="s">
        <v>393</v>
      </c>
      <c r="F195" s="3">
        <v>12.095744680851064</v>
      </c>
      <c r="G195" s="1" t="s">
        <v>14</v>
      </c>
      <c r="H195" s="2">
        <v>44621</v>
      </c>
      <c r="I195" s="1">
        <v>0.193</v>
      </c>
      <c r="J195" s="1">
        <v>0.42499999999999999</v>
      </c>
      <c r="K195" s="1">
        <v>20</v>
      </c>
      <c r="L195" s="1" t="s">
        <v>15</v>
      </c>
    </row>
    <row r="196" spans="1:12" x14ac:dyDescent="0.25">
      <c r="A196" s="1" t="s">
        <v>468</v>
      </c>
      <c r="B196" s="1" t="str">
        <f>("035228")</f>
        <v>035228</v>
      </c>
      <c r="C196" s="1" t="str">
        <f>("622454352285")</f>
        <v>622454352285</v>
      </c>
      <c r="D196" s="1" t="s">
        <v>394</v>
      </c>
      <c r="E196" t="s">
        <v>395</v>
      </c>
      <c r="F196" s="3">
        <v>12.095744680851064</v>
      </c>
      <c r="G196" s="1" t="s">
        <v>14</v>
      </c>
      <c r="H196" s="2">
        <v>44621</v>
      </c>
      <c r="I196" s="1">
        <v>0.20300000000000001</v>
      </c>
      <c r="J196" s="1">
        <v>0.44800000000000001</v>
      </c>
      <c r="K196" s="1">
        <v>10</v>
      </c>
      <c r="L196" s="1" t="s">
        <v>15</v>
      </c>
    </row>
    <row r="197" spans="1:12" x14ac:dyDescent="0.25">
      <c r="A197" s="1" t="s">
        <v>468</v>
      </c>
      <c r="B197" s="1" t="str">
        <f>("035229")</f>
        <v>035229</v>
      </c>
      <c r="C197" s="1" t="str">
        <f>("622454352292")</f>
        <v>622454352292</v>
      </c>
      <c r="D197" s="1" t="s">
        <v>396</v>
      </c>
      <c r="E197" t="s">
        <v>397</v>
      </c>
      <c r="F197" s="3">
        <v>12.095744680851064</v>
      </c>
      <c r="G197" s="1" t="s">
        <v>14</v>
      </c>
      <c r="H197" s="2">
        <v>44621</v>
      </c>
      <c r="I197" s="1">
        <v>0.11</v>
      </c>
      <c r="J197" s="1">
        <v>0.24299999999999999</v>
      </c>
      <c r="K197" s="1">
        <v>10</v>
      </c>
      <c r="L197" s="1" t="s">
        <v>15</v>
      </c>
    </row>
    <row r="198" spans="1:12" x14ac:dyDescent="0.25">
      <c r="A198" s="1" t="s">
        <v>468</v>
      </c>
      <c r="B198" s="1" t="str">
        <f>("035231")</f>
        <v>035231</v>
      </c>
      <c r="C198" s="1" t="str">
        <f>("622454352315")</f>
        <v>622454352315</v>
      </c>
      <c r="D198" s="1" t="s">
        <v>398</v>
      </c>
      <c r="E198" t="s">
        <v>399</v>
      </c>
      <c r="F198" s="3">
        <v>17.914893617021278</v>
      </c>
      <c r="G198" s="1" t="s">
        <v>14</v>
      </c>
      <c r="H198" s="2">
        <v>44621</v>
      </c>
      <c r="I198" s="1">
        <v>0.21299999999999999</v>
      </c>
      <c r="J198" s="1">
        <v>0.47</v>
      </c>
      <c r="K198" s="1">
        <v>10</v>
      </c>
      <c r="L198" s="1" t="s">
        <v>15</v>
      </c>
    </row>
    <row r="199" spans="1:12" x14ac:dyDescent="0.25">
      <c r="A199" s="1" t="s">
        <v>468</v>
      </c>
      <c r="B199" s="1" t="str">
        <f>("035232")</f>
        <v>035232</v>
      </c>
      <c r="C199" s="1" t="str">
        <f>("622454352322")</f>
        <v>622454352322</v>
      </c>
      <c r="D199" s="1" t="s">
        <v>400</v>
      </c>
      <c r="E199" t="s">
        <v>401</v>
      </c>
      <c r="F199" s="3">
        <v>17.914893617021278</v>
      </c>
      <c r="G199" s="1" t="s">
        <v>14</v>
      </c>
      <c r="H199" s="2">
        <v>44621</v>
      </c>
      <c r="I199" s="1">
        <v>0.218</v>
      </c>
      <c r="J199" s="1">
        <v>0.48099999999999998</v>
      </c>
      <c r="K199" s="1">
        <v>10</v>
      </c>
      <c r="L199" s="1" t="s">
        <v>15</v>
      </c>
    </row>
    <row r="200" spans="1:12" x14ac:dyDescent="0.25">
      <c r="A200" s="1" t="s">
        <v>468</v>
      </c>
      <c r="B200" s="1" t="str">
        <f>("035233")</f>
        <v>035233</v>
      </c>
      <c r="C200" s="1" t="str">
        <f>("622454352339")</f>
        <v>622454352339</v>
      </c>
      <c r="D200" s="1" t="s">
        <v>402</v>
      </c>
      <c r="E200" t="s">
        <v>403</v>
      </c>
      <c r="F200" s="3">
        <v>17.914893617021278</v>
      </c>
      <c r="G200" s="1" t="s">
        <v>14</v>
      </c>
      <c r="H200" s="2">
        <v>44621</v>
      </c>
      <c r="I200" s="1">
        <v>0.29199999999999998</v>
      </c>
      <c r="J200" s="1">
        <v>0.64400000000000002</v>
      </c>
      <c r="K200" s="1">
        <v>20</v>
      </c>
      <c r="L200" s="1" t="s">
        <v>15</v>
      </c>
    </row>
    <row r="201" spans="1:12" x14ac:dyDescent="0.25">
      <c r="A201" s="1" t="s">
        <v>468</v>
      </c>
      <c r="B201" s="1" t="str">
        <f>("035234")</f>
        <v>035234</v>
      </c>
      <c r="C201" s="1" t="str">
        <f>("622454352346")</f>
        <v>622454352346</v>
      </c>
      <c r="D201" s="1" t="s">
        <v>404</v>
      </c>
      <c r="E201" t="s">
        <v>405</v>
      </c>
      <c r="F201" s="3">
        <v>17.914893617021278</v>
      </c>
      <c r="G201" s="1" t="s">
        <v>14</v>
      </c>
      <c r="H201" s="2">
        <v>44621</v>
      </c>
      <c r="I201" s="1">
        <v>0.30199999999999999</v>
      </c>
      <c r="J201" s="1">
        <v>0.66600000000000004</v>
      </c>
      <c r="K201" s="1">
        <v>20</v>
      </c>
      <c r="L201" s="1" t="s">
        <v>15</v>
      </c>
    </row>
    <row r="202" spans="1:12" x14ac:dyDescent="0.25">
      <c r="A202" s="1" t="s">
        <v>468</v>
      </c>
      <c r="B202" s="1" t="str">
        <f>("035235")</f>
        <v>035235</v>
      </c>
      <c r="C202" s="1" t="str">
        <f>("622454352353")</f>
        <v>622454352353</v>
      </c>
      <c r="D202" s="1" t="s">
        <v>406</v>
      </c>
      <c r="E202" t="s">
        <v>407</v>
      </c>
      <c r="F202" s="3">
        <v>17.914893617021278</v>
      </c>
      <c r="G202" s="1" t="s">
        <v>14</v>
      </c>
      <c r="H202" s="2">
        <v>44621</v>
      </c>
      <c r="I202" s="1">
        <v>0.11799999999999999</v>
      </c>
      <c r="J202" s="1">
        <v>0.26</v>
      </c>
      <c r="K202" s="1">
        <v>20</v>
      </c>
      <c r="L202" s="1" t="s">
        <v>15</v>
      </c>
    </row>
    <row r="203" spans="1:12" x14ac:dyDescent="0.25">
      <c r="A203" s="1" t="s">
        <v>468</v>
      </c>
      <c r="B203" s="1" t="str">
        <f>("035238")</f>
        <v>035238</v>
      </c>
      <c r="C203" s="1" t="str">
        <f>("622454352384")</f>
        <v>622454352384</v>
      </c>
      <c r="D203" s="1" t="s">
        <v>408</v>
      </c>
      <c r="E203" t="s">
        <v>409</v>
      </c>
      <c r="F203" s="3">
        <v>40.021276595744681</v>
      </c>
      <c r="G203" s="1" t="s">
        <v>14</v>
      </c>
      <c r="H203" s="2">
        <v>44621</v>
      </c>
      <c r="I203" s="1">
        <v>0.49199999999999999</v>
      </c>
      <c r="J203" s="1">
        <v>1.085</v>
      </c>
      <c r="K203" s="1">
        <v>20</v>
      </c>
      <c r="L203" s="1" t="s">
        <v>15</v>
      </c>
    </row>
    <row r="204" spans="1:12" x14ac:dyDescent="0.25">
      <c r="A204" s="1" t="s">
        <v>468</v>
      </c>
      <c r="B204" s="1" t="str">
        <f>("035239")</f>
        <v>035239</v>
      </c>
      <c r="C204" s="1" t="str">
        <f>("622454352391")</f>
        <v>622454352391</v>
      </c>
      <c r="D204" s="1" t="s">
        <v>410</v>
      </c>
      <c r="E204" t="s">
        <v>411</v>
      </c>
      <c r="F204" s="3">
        <v>40.021276595744681</v>
      </c>
      <c r="G204" s="1" t="s">
        <v>14</v>
      </c>
      <c r="H204" s="2">
        <v>44621</v>
      </c>
      <c r="I204" s="1">
        <v>0.39900000000000002</v>
      </c>
      <c r="J204" s="1">
        <v>0.88</v>
      </c>
      <c r="K204" s="1">
        <v>6</v>
      </c>
      <c r="L204" s="1" t="s">
        <v>15</v>
      </c>
    </row>
    <row r="205" spans="1:12" x14ac:dyDescent="0.25">
      <c r="A205" s="1" t="s">
        <v>468</v>
      </c>
      <c r="B205" s="1" t="str">
        <f>("035240")</f>
        <v>035240</v>
      </c>
      <c r="C205" s="1" t="str">
        <f>("622454352407")</f>
        <v>622454352407</v>
      </c>
      <c r="D205" s="1" t="s">
        <v>412</v>
      </c>
      <c r="E205" t="s">
        <v>413</v>
      </c>
      <c r="F205" s="3">
        <v>40.021276595744681</v>
      </c>
      <c r="G205" s="1" t="s">
        <v>14</v>
      </c>
      <c r="H205" s="2">
        <v>44621</v>
      </c>
      <c r="I205" s="1">
        <v>0.40799999999999997</v>
      </c>
      <c r="J205" s="1">
        <v>0.89900000000000002</v>
      </c>
      <c r="K205" s="1">
        <v>20</v>
      </c>
      <c r="L205" s="1" t="s">
        <v>15</v>
      </c>
    </row>
    <row r="206" spans="1:12" x14ac:dyDescent="0.25">
      <c r="A206" s="1" t="s">
        <v>468</v>
      </c>
      <c r="B206" s="1" t="str">
        <f>("035241")</f>
        <v>035241</v>
      </c>
      <c r="C206" s="1" t="str">
        <f>("622454352414")</f>
        <v>622454352414</v>
      </c>
      <c r="D206" s="1" t="s">
        <v>414</v>
      </c>
      <c r="E206" t="s">
        <v>415</v>
      </c>
      <c r="F206" s="3">
        <v>56.244680851063833</v>
      </c>
      <c r="G206" s="1" t="s">
        <v>14</v>
      </c>
      <c r="H206" s="2">
        <v>44621</v>
      </c>
      <c r="I206" s="1">
        <v>0.59</v>
      </c>
      <c r="J206" s="1">
        <v>1.3009999999999999</v>
      </c>
      <c r="K206" s="1">
        <v>5</v>
      </c>
      <c r="L206" s="1" t="s">
        <v>15</v>
      </c>
    </row>
    <row r="207" spans="1:12" x14ac:dyDescent="0.25">
      <c r="A207" s="1" t="s">
        <v>468</v>
      </c>
      <c r="B207" s="1" t="str">
        <f>("035244")</f>
        <v>035244</v>
      </c>
      <c r="C207" s="1" t="str">
        <f>("622454352445")</f>
        <v>622454352445</v>
      </c>
      <c r="D207" s="1" t="s">
        <v>416</v>
      </c>
      <c r="E207" t="s">
        <v>417</v>
      </c>
      <c r="F207" s="3">
        <v>99.010638297872333</v>
      </c>
      <c r="G207" s="1" t="s">
        <v>14</v>
      </c>
      <c r="H207" s="2">
        <v>44621</v>
      </c>
      <c r="I207" s="1">
        <v>1.27</v>
      </c>
      <c r="J207" s="1">
        <v>2.8</v>
      </c>
      <c r="K207" s="1">
        <v>5</v>
      </c>
      <c r="L207" s="1" t="s">
        <v>15</v>
      </c>
    </row>
    <row r="208" spans="1:12" x14ac:dyDescent="0.25">
      <c r="A208" s="1" t="s">
        <v>468</v>
      </c>
      <c r="B208" s="1" t="str">
        <f>("035246")</f>
        <v>035246</v>
      </c>
      <c r="C208" s="1" t="str">
        <f>("622454352469")</f>
        <v>622454352469</v>
      </c>
      <c r="D208" s="1" t="s">
        <v>418</v>
      </c>
      <c r="E208" t="s">
        <v>419</v>
      </c>
      <c r="F208" s="3">
        <v>345.42553191489361</v>
      </c>
      <c r="G208" s="1" t="s">
        <v>14</v>
      </c>
      <c r="H208" s="2">
        <v>44621</v>
      </c>
      <c r="I208" s="1">
        <v>1.8140000000000001</v>
      </c>
      <c r="J208" s="1">
        <v>3.9990000000000001</v>
      </c>
      <c r="K208" s="1">
        <v>4</v>
      </c>
      <c r="L208" s="1" t="s">
        <v>15</v>
      </c>
    </row>
    <row r="209" spans="1:12" x14ac:dyDescent="0.25">
      <c r="A209" s="1" t="s">
        <v>468</v>
      </c>
      <c r="B209" s="1" t="str">
        <f>("035258")</f>
        <v>035258</v>
      </c>
      <c r="C209" s="1" t="str">
        <f>("622454352582")</f>
        <v>622454352582</v>
      </c>
      <c r="D209" s="1" t="s">
        <v>420</v>
      </c>
      <c r="E209" t="s">
        <v>421</v>
      </c>
      <c r="F209" s="3">
        <v>3.6382978723404258</v>
      </c>
      <c r="G209" s="1" t="s">
        <v>14</v>
      </c>
      <c r="H209" s="2">
        <v>44621</v>
      </c>
      <c r="I209" s="1">
        <v>8.9999999999999993E-3</v>
      </c>
      <c r="J209" s="1">
        <v>0.02</v>
      </c>
      <c r="K209" s="1">
        <v>50</v>
      </c>
      <c r="L209" s="1" t="s">
        <v>15</v>
      </c>
    </row>
    <row r="210" spans="1:12" x14ac:dyDescent="0.25">
      <c r="A210" s="1" t="s">
        <v>468</v>
      </c>
      <c r="B210" s="1" t="str">
        <f>("035259")</f>
        <v>035259</v>
      </c>
      <c r="C210" s="1" t="str">
        <f>("622454352599")</f>
        <v>622454352599</v>
      </c>
      <c r="D210" s="1" t="s">
        <v>422</v>
      </c>
      <c r="E210" t="s">
        <v>423</v>
      </c>
      <c r="F210" s="3">
        <v>3.6382978723404258</v>
      </c>
      <c r="G210" s="1" t="s">
        <v>14</v>
      </c>
      <c r="H210" s="2">
        <v>44621</v>
      </c>
      <c r="I210" s="1">
        <v>8.9999999999999993E-3</v>
      </c>
      <c r="J210" s="1">
        <v>0.02</v>
      </c>
      <c r="K210" s="1">
        <v>50</v>
      </c>
      <c r="L210" s="1" t="s">
        <v>15</v>
      </c>
    </row>
    <row r="211" spans="1:12" x14ac:dyDescent="0.25">
      <c r="A211" s="1" t="s">
        <v>468</v>
      </c>
      <c r="B211" s="1" t="str">
        <f>("035260")</f>
        <v>035260</v>
      </c>
      <c r="C211" s="1" t="str">
        <f>("622454352605")</f>
        <v>622454352605</v>
      </c>
      <c r="D211" s="1" t="s">
        <v>424</v>
      </c>
      <c r="E211" t="s">
        <v>425</v>
      </c>
      <c r="F211" s="3">
        <v>2.8085106382978728</v>
      </c>
      <c r="G211" s="1" t="s">
        <v>14</v>
      </c>
      <c r="H211" s="2">
        <v>44621</v>
      </c>
      <c r="I211" s="1">
        <v>1.4E-2</v>
      </c>
      <c r="J211" s="1">
        <v>3.1E-2</v>
      </c>
      <c r="L211" s="1" t="s">
        <v>15</v>
      </c>
    </row>
    <row r="212" spans="1:12" x14ac:dyDescent="0.25">
      <c r="A212" s="1" t="s">
        <v>468</v>
      </c>
      <c r="B212" s="1" t="str">
        <f>("035262")</f>
        <v>035262</v>
      </c>
      <c r="C212" s="1" t="str">
        <f>("622454352629")</f>
        <v>622454352629</v>
      </c>
      <c r="D212" s="1" t="s">
        <v>426</v>
      </c>
      <c r="E212" t="s">
        <v>427</v>
      </c>
      <c r="F212" s="3">
        <v>4.4787234042553195</v>
      </c>
      <c r="G212" s="1" t="s">
        <v>14</v>
      </c>
      <c r="H212" s="2">
        <v>44621</v>
      </c>
      <c r="I212" s="1">
        <v>2.7E-2</v>
      </c>
      <c r="J212" s="1">
        <v>0.06</v>
      </c>
      <c r="K212" s="1">
        <v>50</v>
      </c>
      <c r="L212" s="1" t="s">
        <v>15</v>
      </c>
    </row>
    <row r="213" spans="1:12" x14ac:dyDescent="0.25">
      <c r="A213" s="1" t="s">
        <v>468</v>
      </c>
      <c r="B213" s="1" t="str">
        <f>("035263")</f>
        <v>035263</v>
      </c>
      <c r="C213" s="1" t="str">
        <f>("622454352636")</f>
        <v>622454352636</v>
      </c>
      <c r="D213" s="1" t="s">
        <v>428</v>
      </c>
      <c r="E213" t="s">
        <v>429</v>
      </c>
      <c r="F213" s="3">
        <v>4.4787234042553195</v>
      </c>
      <c r="G213" s="1" t="s">
        <v>14</v>
      </c>
      <c r="H213" s="2">
        <v>44621</v>
      </c>
      <c r="I213" s="1">
        <v>0.23</v>
      </c>
      <c r="J213" s="1">
        <v>0.50700000000000001</v>
      </c>
      <c r="K213" s="1">
        <v>50</v>
      </c>
      <c r="L213" s="1" t="s">
        <v>15</v>
      </c>
    </row>
    <row r="214" spans="1:12" x14ac:dyDescent="0.25">
      <c r="A214" s="1" t="s">
        <v>468</v>
      </c>
      <c r="B214" s="1" t="str">
        <f>("035264")</f>
        <v>035264</v>
      </c>
      <c r="C214" s="1" t="str">
        <f>("622454352643")</f>
        <v>622454352643</v>
      </c>
      <c r="D214" s="1" t="s">
        <v>430</v>
      </c>
      <c r="E214" t="s">
        <v>431</v>
      </c>
      <c r="F214" s="3">
        <v>6.9787234042553195</v>
      </c>
      <c r="G214" s="1" t="s">
        <v>14</v>
      </c>
      <c r="H214" s="2">
        <v>44621</v>
      </c>
      <c r="I214" s="1">
        <v>4.4999999999999998E-2</v>
      </c>
      <c r="J214" s="1">
        <v>9.9000000000000005E-2</v>
      </c>
      <c r="K214" s="1">
        <v>25</v>
      </c>
      <c r="L214" s="1" t="s">
        <v>15</v>
      </c>
    </row>
    <row r="215" spans="1:12" x14ac:dyDescent="0.25">
      <c r="A215" s="1" t="s">
        <v>468</v>
      </c>
      <c r="B215" s="1" t="str">
        <f>("035265")</f>
        <v>035265</v>
      </c>
      <c r="C215" s="1" t="str">
        <f>("622454352650")</f>
        <v>622454352650</v>
      </c>
      <c r="D215" s="1" t="s">
        <v>432</v>
      </c>
      <c r="E215" t="s">
        <v>433</v>
      </c>
      <c r="F215" s="3">
        <v>6.9787234042553195</v>
      </c>
      <c r="G215" s="1" t="s">
        <v>14</v>
      </c>
      <c r="H215" s="2">
        <v>44621</v>
      </c>
      <c r="I215" s="1">
        <v>0.05</v>
      </c>
      <c r="J215" s="1">
        <v>0.11</v>
      </c>
      <c r="K215" s="1">
        <v>25</v>
      </c>
      <c r="L215" s="1" t="s">
        <v>15</v>
      </c>
    </row>
    <row r="216" spans="1:12" x14ac:dyDescent="0.25">
      <c r="A216" s="1" t="s">
        <v>468</v>
      </c>
      <c r="B216" s="1" t="str">
        <f>("035266")</f>
        <v>035266</v>
      </c>
      <c r="C216" s="1" t="str">
        <f>("622454352667")</f>
        <v>622454352667</v>
      </c>
      <c r="D216" s="1" t="s">
        <v>434</v>
      </c>
      <c r="E216" t="s">
        <v>435</v>
      </c>
      <c r="F216" s="3">
        <v>6.9787234042553195</v>
      </c>
      <c r="G216" s="1" t="s">
        <v>14</v>
      </c>
      <c r="H216" s="2">
        <v>44621</v>
      </c>
      <c r="I216" s="1">
        <v>3.5999999999999997E-2</v>
      </c>
      <c r="J216" s="1">
        <v>7.9000000000000001E-2</v>
      </c>
      <c r="K216" s="1">
        <v>25</v>
      </c>
      <c r="L216" s="1" t="s">
        <v>15</v>
      </c>
    </row>
    <row r="217" spans="1:12" x14ac:dyDescent="0.25">
      <c r="A217" s="1" t="s">
        <v>468</v>
      </c>
      <c r="B217" s="1" t="str">
        <f>("035267")</f>
        <v>035267</v>
      </c>
      <c r="C217" s="1" t="str">
        <f>("622454352674")</f>
        <v>622454352674</v>
      </c>
      <c r="D217" s="1" t="s">
        <v>436</v>
      </c>
      <c r="E217" t="s">
        <v>437</v>
      </c>
      <c r="F217" s="3">
        <v>8.0319148936170208</v>
      </c>
      <c r="G217" s="1" t="s">
        <v>14</v>
      </c>
      <c r="H217" s="2">
        <v>44621</v>
      </c>
      <c r="I217" s="1">
        <v>7.2999999999999995E-2</v>
      </c>
      <c r="J217" s="1">
        <v>0.161</v>
      </c>
      <c r="K217" s="1">
        <v>25</v>
      </c>
      <c r="L217" s="1" t="s">
        <v>15</v>
      </c>
    </row>
    <row r="218" spans="1:12" x14ac:dyDescent="0.25">
      <c r="A218" s="1" t="s">
        <v>468</v>
      </c>
      <c r="B218" s="1" t="str">
        <f>("035268")</f>
        <v>035268</v>
      </c>
      <c r="C218" s="1" t="str">
        <f>("622454352681")</f>
        <v>622454352681</v>
      </c>
      <c r="D218" s="1" t="s">
        <v>438</v>
      </c>
      <c r="E218" t="s">
        <v>439</v>
      </c>
      <c r="F218" s="3">
        <v>8.0319148936170208</v>
      </c>
      <c r="G218" s="1" t="s">
        <v>14</v>
      </c>
      <c r="H218" s="2">
        <v>44621</v>
      </c>
      <c r="I218" s="1">
        <v>7.1999999999999995E-2</v>
      </c>
      <c r="J218" s="1">
        <v>0.159</v>
      </c>
      <c r="K218" s="1">
        <v>25</v>
      </c>
      <c r="L218" s="1" t="s">
        <v>15</v>
      </c>
    </row>
    <row r="219" spans="1:12" x14ac:dyDescent="0.25">
      <c r="A219" s="1" t="s">
        <v>468</v>
      </c>
      <c r="B219" s="1" t="str">
        <f>("035269")</f>
        <v>035269</v>
      </c>
      <c r="C219" s="1" t="str">
        <f>("622454352698")</f>
        <v>622454352698</v>
      </c>
      <c r="D219" s="1" t="s">
        <v>440</v>
      </c>
      <c r="E219" t="s">
        <v>441</v>
      </c>
      <c r="F219" s="3">
        <v>8.0319148936170208</v>
      </c>
      <c r="G219" s="1" t="s">
        <v>14</v>
      </c>
      <c r="H219" s="2">
        <v>44621</v>
      </c>
      <c r="I219" s="1">
        <v>6.8000000000000005E-2</v>
      </c>
      <c r="J219" s="1">
        <v>0.15</v>
      </c>
      <c r="K219" s="1">
        <v>25</v>
      </c>
      <c r="L219" s="1" t="s">
        <v>15</v>
      </c>
    </row>
    <row r="220" spans="1:12" x14ac:dyDescent="0.25">
      <c r="A220" s="1" t="s">
        <v>468</v>
      </c>
      <c r="B220" s="1" t="str">
        <f>("035270")</f>
        <v>035270</v>
      </c>
      <c r="C220" s="1" t="str">
        <f>("622454352704")</f>
        <v>622454352704</v>
      </c>
      <c r="D220" s="1" t="s">
        <v>442</v>
      </c>
      <c r="E220" t="s">
        <v>443</v>
      </c>
      <c r="F220" s="3">
        <v>8.0319148936170208</v>
      </c>
      <c r="G220" s="1" t="s">
        <v>14</v>
      </c>
      <c r="H220" s="2">
        <v>44621</v>
      </c>
      <c r="I220" s="1">
        <v>4.2000000000000003E-2</v>
      </c>
      <c r="J220" s="1">
        <v>9.2999999999999999E-2</v>
      </c>
      <c r="K220" s="1">
        <v>25</v>
      </c>
      <c r="L220" s="1" t="s">
        <v>15</v>
      </c>
    </row>
    <row r="221" spans="1:12" x14ac:dyDescent="0.25">
      <c r="A221" s="1" t="s">
        <v>468</v>
      </c>
      <c r="B221" s="1" t="str">
        <f>("035271")</f>
        <v>035271</v>
      </c>
      <c r="C221" s="1" t="str">
        <f>("622454352711")</f>
        <v>622454352711</v>
      </c>
      <c r="D221" s="1" t="s">
        <v>444</v>
      </c>
      <c r="E221" t="s">
        <v>445</v>
      </c>
      <c r="F221" s="3">
        <v>10.670212765957446</v>
      </c>
      <c r="G221" s="1" t="s">
        <v>14</v>
      </c>
      <c r="H221" s="2">
        <v>44621</v>
      </c>
      <c r="I221" s="1">
        <v>0.16700000000000001</v>
      </c>
      <c r="J221" s="1">
        <v>0.36799999999999999</v>
      </c>
      <c r="K221" s="1">
        <v>10</v>
      </c>
      <c r="L221" s="1" t="s">
        <v>15</v>
      </c>
    </row>
    <row r="222" spans="1:12" x14ac:dyDescent="0.25">
      <c r="A222" s="1" t="s">
        <v>468</v>
      </c>
      <c r="B222" s="1" t="str">
        <f>("035272")</f>
        <v>035272</v>
      </c>
      <c r="C222" s="1" t="str">
        <f>("622454352728")</f>
        <v>622454352728</v>
      </c>
      <c r="D222" s="1" t="s">
        <v>446</v>
      </c>
      <c r="E222" t="s">
        <v>447</v>
      </c>
      <c r="F222" s="3">
        <v>10.670212765957446</v>
      </c>
      <c r="G222" s="1" t="s">
        <v>14</v>
      </c>
      <c r="H222" s="2">
        <v>44621</v>
      </c>
      <c r="I222" s="1">
        <v>0.1</v>
      </c>
      <c r="J222" s="1">
        <v>0.22</v>
      </c>
      <c r="K222" s="1">
        <v>10</v>
      </c>
      <c r="L222" s="1" t="s">
        <v>15</v>
      </c>
    </row>
    <row r="223" spans="1:12" x14ac:dyDescent="0.25">
      <c r="A223" s="1" t="s">
        <v>468</v>
      </c>
      <c r="B223" s="1" t="str">
        <f>("035273")</f>
        <v>035273</v>
      </c>
      <c r="C223" s="1" t="str">
        <f>("622454352735")</f>
        <v>622454352735</v>
      </c>
      <c r="D223" s="1" t="s">
        <v>448</v>
      </c>
      <c r="E223" t="s">
        <v>449</v>
      </c>
      <c r="F223" s="3">
        <v>10.670212765957446</v>
      </c>
      <c r="G223" s="1" t="s">
        <v>14</v>
      </c>
      <c r="H223" s="2">
        <v>44621</v>
      </c>
      <c r="I223" s="1">
        <v>0.109</v>
      </c>
      <c r="J223" s="1">
        <v>0.24</v>
      </c>
      <c r="K223" s="1">
        <v>10</v>
      </c>
      <c r="L223" s="1" t="s">
        <v>15</v>
      </c>
    </row>
    <row r="224" spans="1:12" x14ac:dyDescent="0.25">
      <c r="A224" s="1" t="s">
        <v>468</v>
      </c>
      <c r="B224" s="1" t="str">
        <f>("035274")</f>
        <v>035274</v>
      </c>
      <c r="C224" s="1" t="str">
        <f>("622454352742")</f>
        <v>622454352742</v>
      </c>
      <c r="D224" s="1" t="s">
        <v>450</v>
      </c>
      <c r="E224" t="s">
        <v>451</v>
      </c>
      <c r="F224" s="3">
        <v>10.670212765957446</v>
      </c>
      <c r="G224" s="1" t="s">
        <v>14</v>
      </c>
      <c r="H224" s="2">
        <v>44621</v>
      </c>
      <c r="I224" s="1">
        <v>0.104</v>
      </c>
      <c r="J224" s="1">
        <v>0.22900000000000001</v>
      </c>
      <c r="K224" s="1">
        <v>10</v>
      </c>
      <c r="L224" s="1" t="s">
        <v>15</v>
      </c>
    </row>
    <row r="225" spans="1:12" x14ac:dyDescent="0.25">
      <c r="A225" s="1" t="s">
        <v>468</v>
      </c>
      <c r="B225" s="1" t="str">
        <f>("035275")</f>
        <v>035275</v>
      </c>
      <c r="C225" s="1" t="str">
        <f>("622454352759")</f>
        <v>622454352759</v>
      </c>
      <c r="D225" s="1" t="s">
        <v>452</v>
      </c>
      <c r="E225" t="s">
        <v>453</v>
      </c>
      <c r="F225" s="3">
        <v>10.670212765957446</v>
      </c>
      <c r="G225" s="1" t="s">
        <v>14</v>
      </c>
      <c r="H225" s="2">
        <v>44621</v>
      </c>
      <c r="I225" s="1">
        <v>8.5999999999999993E-2</v>
      </c>
      <c r="J225" s="1">
        <v>0.19</v>
      </c>
      <c r="K225" s="1">
        <v>10</v>
      </c>
      <c r="L225" s="1" t="s">
        <v>15</v>
      </c>
    </row>
    <row r="226" spans="1:12" x14ac:dyDescent="0.25">
      <c r="A226" s="1" t="s">
        <v>468</v>
      </c>
      <c r="B226" s="1" t="str">
        <f>("035277")</f>
        <v>035277</v>
      </c>
      <c r="C226" s="1" t="str">
        <f>("622454352773")</f>
        <v>622454352773</v>
      </c>
      <c r="D226" s="1" t="s">
        <v>454</v>
      </c>
      <c r="E226" t="s">
        <v>455</v>
      </c>
      <c r="F226" s="3">
        <v>15.489361702127662</v>
      </c>
      <c r="G226" s="1" t="s">
        <v>14</v>
      </c>
      <c r="H226" s="2">
        <v>44621</v>
      </c>
      <c r="I226" s="1">
        <v>0.21299999999999999</v>
      </c>
      <c r="J226" s="1">
        <v>0.47</v>
      </c>
      <c r="K226" s="1">
        <v>10</v>
      </c>
      <c r="L226" s="1" t="s">
        <v>15</v>
      </c>
    </row>
    <row r="227" spans="1:12" x14ac:dyDescent="0.25">
      <c r="A227" s="1" t="s">
        <v>468</v>
      </c>
      <c r="B227" s="1" t="str">
        <f>("035278")</f>
        <v>035278</v>
      </c>
      <c r="C227" s="1" t="str">
        <f>("622454352780")</f>
        <v>622454352780</v>
      </c>
      <c r="D227" s="1" t="s">
        <v>456</v>
      </c>
      <c r="E227" t="s">
        <v>457</v>
      </c>
      <c r="F227" s="3">
        <v>15.489361702127662</v>
      </c>
      <c r="G227" s="1" t="s">
        <v>14</v>
      </c>
      <c r="H227" s="2">
        <v>44621</v>
      </c>
      <c r="I227" s="1">
        <v>0.14099999999999999</v>
      </c>
      <c r="J227" s="1">
        <v>0.311</v>
      </c>
      <c r="K227" s="1">
        <v>10</v>
      </c>
      <c r="L227" s="1" t="s">
        <v>15</v>
      </c>
    </row>
    <row r="228" spans="1:12" x14ac:dyDescent="0.25">
      <c r="A228" s="1" t="s">
        <v>468</v>
      </c>
      <c r="B228" s="1" t="str">
        <f>("035283")</f>
        <v>035283</v>
      </c>
      <c r="C228" s="1" t="str">
        <f>("622454352834")</f>
        <v>622454352834</v>
      </c>
      <c r="D228" s="1" t="s">
        <v>458</v>
      </c>
      <c r="E228" t="s">
        <v>459</v>
      </c>
      <c r="F228" s="3">
        <v>17.914893617021278</v>
      </c>
      <c r="G228" s="1" t="s">
        <v>14</v>
      </c>
      <c r="H228" s="2">
        <v>44621</v>
      </c>
      <c r="I228" s="1">
        <v>0.24</v>
      </c>
      <c r="J228" s="1">
        <v>0.52900000000000003</v>
      </c>
      <c r="K228" s="1">
        <v>10</v>
      </c>
      <c r="L228" s="1" t="s">
        <v>15</v>
      </c>
    </row>
    <row r="229" spans="1:12" x14ac:dyDescent="0.25">
      <c r="A229" s="1" t="s">
        <v>468</v>
      </c>
      <c r="B229" s="1" t="str">
        <f>("035285")</f>
        <v>035285</v>
      </c>
      <c r="C229" s="1" t="str">
        <f>("622454352858")</f>
        <v>622454352858</v>
      </c>
      <c r="D229" s="1" t="s">
        <v>460</v>
      </c>
      <c r="E229" t="s">
        <v>461</v>
      </c>
      <c r="F229" s="3">
        <v>39.925531914893618</v>
      </c>
      <c r="G229" s="1" t="s">
        <v>14</v>
      </c>
      <c r="H229" s="2">
        <v>44621</v>
      </c>
      <c r="I229" s="1">
        <v>0.39</v>
      </c>
      <c r="J229" s="1">
        <v>0.86</v>
      </c>
      <c r="K229" s="1">
        <v>6</v>
      </c>
      <c r="L229" s="1" t="s">
        <v>15</v>
      </c>
    </row>
    <row r="230" spans="1:12" x14ac:dyDescent="0.25">
      <c r="A230" s="1" t="s">
        <v>468</v>
      </c>
      <c r="B230" s="1" t="str">
        <f>("035286")</f>
        <v>035286</v>
      </c>
      <c r="C230" s="1" t="str">
        <f>("622454352865")</f>
        <v>622454352865</v>
      </c>
      <c r="D230" s="1" t="s">
        <v>462</v>
      </c>
      <c r="E230" t="s">
        <v>463</v>
      </c>
      <c r="F230" s="3">
        <v>39.925531914893618</v>
      </c>
      <c r="G230" s="1" t="s">
        <v>14</v>
      </c>
      <c r="H230" s="2">
        <v>44621</v>
      </c>
      <c r="I230" s="1">
        <v>1.2250000000000001</v>
      </c>
      <c r="J230" s="1">
        <v>2.7010000000000001</v>
      </c>
      <c r="K230" s="1">
        <v>6</v>
      </c>
      <c r="L230" s="1" t="s">
        <v>15</v>
      </c>
    </row>
    <row r="231" spans="1:12" x14ac:dyDescent="0.25">
      <c r="A231" s="1" t="s">
        <v>468</v>
      </c>
      <c r="B231" s="1" t="str">
        <f>("235062")</f>
        <v>235062</v>
      </c>
      <c r="C231" s="1" t="str">
        <f>("622454010840")</f>
        <v>622454010840</v>
      </c>
      <c r="D231" s="1" t="s">
        <v>464</v>
      </c>
      <c r="E231" t="s">
        <v>465</v>
      </c>
      <c r="F231" s="3">
        <v>77.829787234042556</v>
      </c>
      <c r="G231" s="1" t="s">
        <v>14</v>
      </c>
      <c r="H231" s="2">
        <v>44621</v>
      </c>
      <c r="I231" s="1">
        <v>0.59</v>
      </c>
      <c r="J231" s="1">
        <v>1.3009999999999999</v>
      </c>
      <c r="K231" s="1">
        <v>4</v>
      </c>
      <c r="L231" s="1" t="s">
        <v>15</v>
      </c>
    </row>
    <row r="232" spans="1:12" x14ac:dyDescent="0.25">
      <c r="A232" s="1" t="s">
        <v>468</v>
      </c>
      <c r="B232" s="1" t="str">
        <f>("035287")</f>
        <v>035287</v>
      </c>
      <c r="C232" s="1" t="str">
        <f>("622454352872")</f>
        <v>622454352872</v>
      </c>
      <c r="D232" s="1" t="s">
        <v>466</v>
      </c>
      <c r="E232" t="s">
        <v>467</v>
      </c>
      <c r="F232" s="3">
        <v>146.22340425531914</v>
      </c>
      <c r="G232" s="1" t="s">
        <v>14</v>
      </c>
      <c r="H232" s="2">
        <v>44621</v>
      </c>
      <c r="I232" s="1">
        <v>0.998</v>
      </c>
      <c r="J232" s="1">
        <v>2.2000000000000002</v>
      </c>
      <c r="K232" s="1">
        <v>5</v>
      </c>
      <c r="L232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PVC40GFIPUS030122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Kitchen, Dave</dc:creator>
  <cp:lastModifiedBy>Kitchen, Dave</cp:lastModifiedBy>
  <dcterms:created xsi:type="dcterms:W3CDTF">2022-02-18T13:06:32Z</dcterms:created>
  <dcterms:modified xsi:type="dcterms:W3CDTF">2022-02-18T17:38:56Z</dcterms:modified>
</cp:coreProperties>
</file>